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14400" windowHeight="11760" activeTab="0"/>
  </bookViews>
  <sheets>
    <sheet name="Page 1" sheetId="1" r:id="rId1"/>
    <sheet name="Page 2" sheetId="2" r:id="rId2"/>
    <sheet name="Page 3" sheetId="3" r:id="rId3"/>
    <sheet name="Page 4" sheetId="4" r:id="rId4"/>
    <sheet name="Page 5" sheetId="5" r:id="rId5"/>
    <sheet name="Page 6" sheetId="6" r:id="rId6"/>
    <sheet name="Page 7" sheetId="7" r:id="rId7"/>
    <sheet name="Cost Analysis" sheetId="8" r:id="rId8"/>
  </sheets>
  <definedNames/>
  <calcPr fullCalcOnLoad="1"/>
</workbook>
</file>

<file path=xl/sharedStrings.xml><?xml version="1.0" encoding="utf-8"?>
<sst xmlns="http://schemas.openxmlformats.org/spreadsheetml/2006/main" count="456" uniqueCount="306">
  <si>
    <t>Background</t>
  </si>
  <si>
    <t>Design Criteria</t>
  </si>
  <si>
    <t>Cost Neutrality</t>
  </si>
  <si>
    <t>Four Options</t>
  </si>
  <si>
    <t>MODERNIZATION PROPERTY INCENTIVE APPLICATION SUMMARY PAGE</t>
  </si>
  <si>
    <t>Nursing Home Name</t>
  </si>
  <si>
    <t>Address</t>
  </si>
  <si>
    <t>NPI Number</t>
  </si>
  <si>
    <t>Application Date</t>
  </si>
  <si>
    <t xml:space="preserve">SUMMARY DESCRIPTION OF PROJECT </t>
  </si>
  <si>
    <t>Please identify the individual who should be contacted with any further questions about your application.</t>
  </si>
  <si>
    <t>Name</t>
  </si>
  <si>
    <t>Title</t>
  </si>
  <si>
    <t>Phone Number</t>
  </si>
  <si>
    <t>Email</t>
  </si>
  <si>
    <t>Indicate which of the four available incentive options you are applying for below.  Select one option only.  Complete the requested information under the requested option.</t>
  </si>
  <si>
    <t>Select one</t>
  </si>
  <si>
    <t>Option</t>
  </si>
  <si>
    <t>Number of Licensed Beds Returned</t>
  </si>
  <si>
    <t>A: Nursing Home Downsizing</t>
  </si>
  <si>
    <t>B: Replacement Facility Program</t>
  </si>
  <si>
    <t>C: Small Replacement/Renovation: 60 beds</t>
  </si>
  <si>
    <t>D: Small Replacement/Renovation: 50 beds</t>
  </si>
  <si>
    <t>Licensed Bed Trend</t>
  </si>
  <si>
    <t>Month</t>
  </si>
  <si>
    <t>Number of Licensed Beds</t>
  </si>
  <si>
    <t xml:space="preserve">Requested dates and incentive </t>
  </si>
  <si>
    <t>A. Nursing Home Downsizing Program:</t>
  </si>
  <si>
    <t>B. Replacement Facility Program:</t>
  </si>
  <si>
    <t>C. Small Replacement/Renovation Program-60 beds</t>
  </si>
  <si>
    <t>D. Small Replacement/Renovation Program-50 beds</t>
  </si>
  <si>
    <t>SECTION A – INHOUSE PATIENT DAYS</t>
  </si>
  <si>
    <t>LEVEL OF CARE (LOC)</t>
  </si>
  <si>
    <t>NON DD</t>
  </si>
  <si>
    <t>DD 3</t>
  </si>
  <si>
    <t>DD 2</t>
  </si>
  <si>
    <t>DD 1B</t>
  </si>
  <si>
    <t>DD 1A</t>
  </si>
  <si>
    <t>TOTAL</t>
  </si>
  <si>
    <t>SECTION B – BEDHOLD DAYS-Billable</t>
  </si>
  <si>
    <t>7.  All Other</t>
  </si>
  <si>
    <t>Complete estimated project costs for either remodeling or new construction depending upon the type of project and incentive selected.  Complete one section only.</t>
  </si>
  <si>
    <t>Complete the annual property costs-whether your project is remodeling or new construction.</t>
  </si>
  <si>
    <t xml:space="preserve">Reported costs for the first full year after completion should include new property costs as well as any costs related to space that is still being used.  </t>
  </si>
  <si>
    <t>Total project cost:</t>
  </si>
  <si>
    <t>Estimated project loan principal:</t>
  </si>
  <si>
    <t>Estimated interest rate on project borrowing:</t>
  </si>
  <si>
    <t>Most Recent Fiscal Year</t>
  </si>
  <si>
    <t>Estimated First Full Year After Project Completion</t>
  </si>
  <si>
    <t>Depreciation: Building/FE/LI</t>
  </si>
  <si>
    <t>Depreciation: ME</t>
  </si>
  <si>
    <t>Interest Expense</t>
  </si>
  <si>
    <t>Property Insurance</t>
  </si>
  <si>
    <t>In-house MA Rate – NF</t>
  </si>
  <si>
    <t>Please attach copies of your projected budget and rate forecast calculations.</t>
  </si>
  <si>
    <t>RATE PPD (net of member share)</t>
  </si>
  <si>
    <t>Card Cost PPD</t>
  </si>
  <si>
    <t>Other Nursing Home Cost Estimates</t>
  </si>
  <si>
    <t>Patient Liability PPD</t>
  </si>
  <si>
    <t>Card Costs PPD</t>
  </si>
  <si>
    <t xml:space="preserve">Current Annual </t>
  </si>
  <si>
    <t>Annual Total</t>
  </si>
  <si>
    <t>Bed Assessment Payments</t>
  </si>
  <si>
    <t>Patient Liability</t>
  </si>
  <si>
    <t xml:space="preserve">Card Cost Revenues </t>
  </si>
  <si>
    <t>Total</t>
  </si>
  <si>
    <t>Estimated First Full Year After Completion of Project</t>
  </si>
  <si>
    <t>Card Cost Revenues</t>
  </si>
  <si>
    <t>Community Care Costs PPD</t>
  </si>
  <si>
    <t>Community Care Card Cost PPD</t>
  </si>
  <si>
    <t>FMAP</t>
  </si>
  <si>
    <t>SECTION D-INNOVATIVE DESIGN SUMMARY</t>
  </si>
  <si>
    <t>For each innovative design feature that is a component of your proposed construction indicate whether it is included in the design and where it may be found in the plan documents.  If a feature is not part of your design indicate n/a.</t>
  </si>
  <si>
    <t>Design Element Summary</t>
  </si>
  <si>
    <t>Included in Design?</t>
  </si>
  <si>
    <t>Plan Reference</t>
  </si>
  <si>
    <t>Small scale living units with a household identity for several living units, including inviting, homelike common spaces</t>
  </si>
  <si>
    <t>Peaceful, functional and family-friendly spaces in common areas</t>
  </si>
  <si>
    <t>Freedom of movement and full accessibility (non-locking egress doors)</t>
  </si>
  <si>
    <t>Personalized space for enhanced dining, bathing and activity programs</t>
  </si>
  <si>
    <t>Personal, or multiple, laundry areas that are easily accessible by residents and their families</t>
  </si>
  <si>
    <t>Personal, or multiple,  dining areas that are easily accessible by residents and their families</t>
  </si>
  <si>
    <t>Dining schedules and menus that accommodate the residents</t>
  </si>
  <si>
    <t>Lighting fixtures that provide adequate contrast to objects in the surroundings</t>
  </si>
  <si>
    <t>Concealed Medical control fixtures that staff can readily access in an emergency</t>
  </si>
  <si>
    <t>Design incorporating cultural features</t>
  </si>
  <si>
    <t>Easy access (non-locking doors) to the outdoors and outdoor views; (outdoors environments provide shading devices and wind breaks)</t>
  </si>
  <si>
    <t>Large % of private rooms per DQA license affording a private living space.  Proposed percentage is _____%</t>
  </si>
  <si>
    <t>Large % of private bathrooms per DQA license.  Proposed percentage is ____%</t>
  </si>
  <si>
    <t>Level of accessibility in the bathrooms</t>
  </si>
  <si>
    <t>Opportunity for community and family engagement (levels of public, semi-public, semi-private, to private spaces)</t>
  </si>
  <si>
    <t>Design features to enhance relationship between residents and staff</t>
  </si>
  <si>
    <t>Support for strong relationships among residents and staff via consistent assignment of staff; (staffing levels compared to state mandated minimums)</t>
  </si>
  <si>
    <t>Workspaces designed for efficiency; (staff workspaces are adjacent / incorporated into the residents area)</t>
  </si>
  <si>
    <t>Resident centered care through culture change to improve residents’ quality of life; (activities that are chosen by the residents and facilitated by the facility)</t>
  </si>
  <si>
    <t>Implementation of Electronic Medical Record systems and other high tech advances such as wireless nurse call systems</t>
  </si>
  <si>
    <t>Other: Describe</t>
  </si>
  <si>
    <t>Please attach a narrative document that describes how the elements identified above are aligned to a framework of design principles that support a resident-centered vision for the new or renovated facility. Be specific in describing how individual design elements will support positive outcomes for residents.</t>
  </si>
  <si>
    <t>Licensed Beds</t>
  </si>
  <si>
    <t>Nursing Home Modernization Medicaid Cost Analysis</t>
  </si>
  <si>
    <t>Licensed Beds (Baseline)</t>
  </si>
  <si>
    <t>a</t>
  </si>
  <si>
    <t>Application - Section A</t>
  </si>
  <si>
    <t>b</t>
  </si>
  <si>
    <t>c</t>
  </si>
  <si>
    <t>Licensed Beds (Projected)</t>
  </si>
  <si>
    <t>Patient Days (Baseline)</t>
  </si>
  <si>
    <t>Application - Schedule A1</t>
  </si>
  <si>
    <t>NF Medicaid</t>
  </si>
  <si>
    <t>Lines 1a, c-f, 6a</t>
  </si>
  <si>
    <t>NF Other</t>
  </si>
  <si>
    <t>Lines 2-4, 7 (Non-DD)</t>
  </si>
  <si>
    <t>d</t>
  </si>
  <si>
    <t>e</t>
  </si>
  <si>
    <t>f</t>
  </si>
  <si>
    <t>Total Medicaid</t>
  </si>
  <si>
    <t>g</t>
  </si>
  <si>
    <t>Implied Occupancy Rate</t>
  </si>
  <si>
    <t>h</t>
  </si>
  <si>
    <t>Percent Medicaid</t>
  </si>
  <si>
    <t>Patient Days (Projected)</t>
  </si>
  <si>
    <t>Nursing Home - This NH</t>
  </si>
  <si>
    <t>Application - Schedule A2</t>
  </si>
  <si>
    <t>Other NF Medicaid</t>
  </si>
  <si>
    <t>Application - Section C</t>
  </si>
  <si>
    <t>i</t>
  </si>
  <si>
    <t>j</t>
  </si>
  <si>
    <t>k</t>
  </si>
  <si>
    <t>Medicaid Rates (Baseline)</t>
  </si>
  <si>
    <t>NF Rate PPD</t>
  </si>
  <si>
    <t>Application - Section B</t>
  </si>
  <si>
    <t>NF Card Cost PPD</t>
  </si>
  <si>
    <t>Source: DLTC</t>
  </si>
  <si>
    <t>Patient Liability - NF</t>
  </si>
  <si>
    <t>Medicaid Rates (Projected)</t>
  </si>
  <si>
    <t>Phasedown gross rate lock-in</t>
  </si>
  <si>
    <t>Usually same as 5c</t>
  </si>
  <si>
    <t>Comm Care Rate PPD</t>
  </si>
  <si>
    <t>Comm Care Card Cost PPD</t>
  </si>
  <si>
    <t>Bed Assessment Rate</t>
  </si>
  <si>
    <t>WI Medicaid Expenditures</t>
  </si>
  <si>
    <t>Baseline</t>
  </si>
  <si>
    <t>Bed Assessment</t>
  </si>
  <si>
    <t>Card Costs</t>
  </si>
  <si>
    <t>Federal Match</t>
  </si>
  <si>
    <t>(9b + 9c + 9d) x 8</t>
  </si>
  <si>
    <t>9a + 9b + 9c + 9d + 9e</t>
  </si>
  <si>
    <t>Projected</t>
  </si>
  <si>
    <t>(10b +…+ 10i) x 8</t>
  </si>
  <si>
    <t>10a +…+ 10j</t>
  </si>
  <si>
    <t>Period</t>
  </si>
  <si>
    <t>Transition Months</t>
  </si>
  <si>
    <t>SECTION A - REQUESTED INCENTIVE OPTION</t>
  </si>
  <si>
    <t>Base</t>
  </si>
  <si>
    <t>Post</t>
  </si>
  <si>
    <t>x</t>
  </si>
  <si>
    <t>17+</t>
  </si>
  <si>
    <t>to</t>
  </si>
  <si>
    <t>What are the proposed Phase-Down months?</t>
  </si>
  <si>
    <t>Transition Cost</t>
  </si>
  <si>
    <t>Payback period (months)</t>
  </si>
  <si>
    <t>Savings (per month)</t>
  </si>
  <si>
    <t>NF Rate Payments</t>
  </si>
  <si>
    <t>NF Rate Payments - This NH</t>
  </si>
  <si>
    <t>NF Rate Payments - Other NHs</t>
  </si>
  <si>
    <t>Community-Based Care</t>
  </si>
  <si>
    <t>Reasonableness check vs. 3d</t>
  </si>
  <si>
    <t>Reasonableness check vs. 3e</t>
  </si>
  <si>
    <t>Check to 3a</t>
  </si>
  <si>
    <t>Usually same as 5b</t>
  </si>
  <si>
    <t>1 x 7</t>
  </si>
  <si>
    <t>3a x 5a</t>
  </si>
  <si>
    <t>3a x 5c</t>
  </si>
  <si>
    <t>3a x 5b</t>
  </si>
  <si>
    <t>2 x 7</t>
  </si>
  <si>
    <t>4a x 6a</t>
  </si>
  <si>
    <t>4a x 6c</t>
  </si>
  <si>
    <t>4a x 6b</t>
  </si>
  <si>
    <t>4f x 5a</t>
  </si>
  <si>
    <t>4f x 5c</t>
  </si>
  <si>
    <t>4f x 5b</t>
  </si>
  <si>
    <t>4l x 6d</t>
  </si>
  <si>
    <t>4l x 6e</t>
  </si>
  <si>
    <t>9f - 10k</t>
  </si>
  <si>
    <t>PPD = 11 / 4a</t>
  </si>
  <si>
    <t xml:space="preserve">Requested Undepreciated Replacement Cost (URC) cap (max $135,000): </t>
  </si>
  <si>
    <t>Does this project involve replacing the current facility via new construction, or remodeling the existing facility?</t>
  </si>
  <si>
    <t>Amount of add-on requested per patient day (max $5):</t>
  </si>
  <si>
    <t xml:space="preserve">Level of Undepreciated Replacement Cost (URC) cap requested (max $135,000): </t>
  </si>
  <si>
    <t>What is the proposed date for the add-on and URC?</t>
  </si>
  <si>
    <t>Amount of add-on requested per patient day (max $10):</t>
  </si>
  <si>
    <t>Please present the number of licensed beds planned for each month of the project. The number of current licensed beds should be shown in the Base month.</t>
  </si>
  <si>
    <t>SECTION A - REQUESTED INCENTIVE OPTION (Cont.)</t>
  </si>
  <si>
    <t>Twelve Months Starting</t>
  </si>
  <si>
    <t xml:space="preserve">Ending </t>
  </si>
  <si>
    <t>NF Rate Revenue</t>
  </si>
  <si>
    <t>NF Rate Revenue - This NH</t>
  </si>
  <si>
    <t>Cost Neutrality Calculation - Summary</t>
  </si>
  <si>
    <t xml:space="preserve">Section C - COST/SAVINGS COMPARISON SUMMARY </t>
  </si>
  <si>
    <t>Section B - ESTIMATED COSTS OF PROJECT</t>
  </si>
  <si>
    <t>ABC Nursing Home</t>
  </si>
  <si>
    <t>101 Main Street</t>
  </si>
  <si>
    <t>Description of proposed project…</t>
  </si>
  <si>
    <t>Joe Jones</t>
  </si>
  <si>
    <t>Administrator</t>
  </si>
  <si>
    <t>608-555-5555</t>
  </si>
  <si>
    <t>jjones@abcnh.com</t>
  </si>
  <si>
    <t xml:space="preserve">There is no single preferred design template or list of required design elements. </t>
  </si>
  <si>
    <t xml:space="preserve">Facilities have flexibility to incorporate resident-centered design elements to fit their approach to skilled nursing care, project budget, and property footprint. </t>
  </si>
  <si>
    <t>Successful applicants will demonstrate cost savings to the Medicaid program that will, at a minimum, equal the Modernization Property Incentive payment. Loss of revenue from Bed Assessment payments must also be included in the cost neutrality projection.</t>
  </si>
  <si>
    <t>The time frame over which cost neutrality will be achieved will be specified by the applicant in the application, and will vary from project to project.</t>
  </si>
  <si>
    <t>Return Bed Licenses to State</t>
  </si>
  <si>
    <t>Include Resident-Centered Design Elements</t>
  </si>
  <si>
    <t>Cost Neutrality Requirement</t>
  </si>
  <si>
    <t>Rate Add-On</t>
  </si>
  <si>
    <t>Base Rate Impacts</t>
  </si>
  <si>
    <t>Nursing Home Downsizing</t>
  </si>
  <si>
    <t>Replacement Facility</t>
  </si>
  <si>
    <t>Small Replacement/ Renovation - 60 Beds</t>
  </si>
  <si>
    <t>Small Replacement/ Renovation - 50 Beds</t>
  </si>
  <si>
    <t>Yes</t>
  </si>
  <si>
    <t>No</t>
  </si>
  <si>
    <t>Gross Revenue Frozen During Project</t>
  </si>
  <si>
    <t>$5/MA Patient Day</t>
  </si>
  <si>
    <t>$10/MA Patient Day</t>
  </si>
  <si>
    <t>Property URC Increased to $135,000 After Completion</t>
  </si>
  <si>
    <t>Property URC Increased to $135,000 After Completion*</t>
  </si>
  <si>
    <t>Item \ Option</t>
  </si>
  <si>
    <t>* Increased URC cap applies to new construction/renovated portion only</t>
  </si>
  <si>
    <t>Beginning in calendar year 2013, facilities may request a special Modernization Property Incentive rate adjustment to support construction projects related to renovation or replacement of existing buildings.</t>
  </si>
  <si>
    <t>The twin goals of the Modernization Property Incentive are to:</t>
  </si>
  <si>
    <t xml:space="preserve">Support the use of resident-centered facility design concepts to update and improve nursing home facilities; and </t>
  </si>
  <si>
    <t>To do so in a manner which will not increase overall costs to the Medicaid program</t>
  </si>
  <si>
    <t>Successful applications will include design features that emphasize resident quality of life as well as demonstrating cost neutrality or cost savings to the Medicaid program.</t>
  </si>
  <si>
    <t>All successful applications will be prospective: requests will not be considered for projects already underway or previously completed. Facilities that are currently receiving an Innovative Project property incentive will continue to do so.</t>
  </si>
  <si>
    <t>All successful applications will involve the return of licensed beds to the state.</t>
  </si>
  <si>
    <t>Nursing Home Modernization Property Incentive Application</t>
  </si>
  <si>
    <t>What is the proposed date for the URC?</t>
  </si>
  <si>
    <t>New</t>
  </si>
  <si>
    <t>Remodel</t>
  </si>
  <si>
    <t>What are the proposed rate lockin months?</t>
  </si>
  <si>
    <t xml:space="preserve">Note: Hide blank columns in the </t>
  </si>
  <si>
    <t>Annual Savings</t>
  </si>
  <si>
    <t>Note: If your project does not initially show cost neutrality or savings, you may reduce the add-on or the URC cap amount, in order to achieve the fiscal goal.</t>
  </si>
  <si>
    <t>Note: Under Option D, the new daily rate will automatically qualify for the 20% small-facility case mix increment and the 40% property cost sharing percentage.</t>
  </si>
  <si>
    <t>Please complete both of the following patient day schedules.  Patient Day schedule A1 should include actual nursing home patient days by payer type for the last full 12 months prior to the application date.  Patient day schedule A2 should include the estimated patient days by payer type for the first 12 months after completion of the property project.  Patient Day Schedule A3 compares the ratio of Medicaid days on Schedule A1 (actual) to Medicaid days on Schedule A2 (projected).</t>
  </si>
  <si>
    <t>Schedule A3 - COMPARISON OF ACTUAL AND PROJECTED MEDICAID PATIENT DAYS</t>
  </si>
  <si>
    <t>Schedule A2 - TOTAL PROJECTED PATIENT DAYS - 12 months after completion</t>
  </si>
  <si>
    <t>Schedule A1 - TOTAL ACTUAL PATIENT DAYS - 12 months prior to application</t>
  </si>
  <si>
    <t>ACTUAL</t>
  </si>
  <si>
    <t>1.  Medicaid Days (A1, lines 1a - 1f, 6a, 6b)</t>
  </si>
  <si>
    <t>2. Total Patient Days (A1, line 9)</t>
  </si>
  <si>
    <t>PROJECTED</t>
  </si>
  <si>
    <t>3.  MA Days as Percent of Total Days (line 1 /line 2)</t>
  </si>
  <si>
    <t>4.  Medicaid Days (A2, lines 1a - 1f, 6a, 6b)</t>
  </si>
  <si>
    <t>5. Total Patient Days (A2, line 9)</t>
  </si>
  <si>
    <t>6.  MA Days as Percent of Total Days (line 4 /line 5)</t>
  </si>
  <si>
    <r>
      <t>The first column should include actual expenses and related rate information from the nursing home’s last full fiscal year</t>
    </r>
    <r>
      <rPr>
        <sz val="11"/>
        <color indexed="10"/>
        <rFont val="Arial"/>
        <family val="2"/>
      </rPr>
      <t>.</t>
    </r>
    <r>
      <rPr>
        <sz val="11"/>
        <color indexed="8"/>
        <rFont val="Arial"/>
        <family val="2"/>
      </rPr>
      <t xml:space="preserve">  The second column should include projected costs and rates for the first full year of operation after the project is complete.</t>
    </r>
  </si>
  <si>
    <t xml:space="preserve">Current and Projected Annual Property Cost and Total Rate Summary:  </t>
  </si>
  <si>
    <t>Rates</t>
  </si>
  <si>
    <t>Property Costs</t>
  </si>
  <si>
    <t>Property Allowance</t>
  </si>
  <si>
    <t>Note: Please display the most recent rate prior to and after the project dates.  Indicate whether the rate is interim or final.</t>
  </si>
  <si>
    <t>If your most recent rate is based on a URC cap below $75,900, please indicate:</t>
  </si>
  <si>
    <t>It is assumed that cost neutrality will primarily be achieved by relocating current NF residents into appropriate community settings at a lower cost to the Medicaid program. Please estimate the number of Medicaid patient days relocated or diverted to other nursing homes or to a community-based care program, as a percentage of the reduction in Medicaid patient days in this facility.</t>
  </si>
  <si>
    <t>Community Care Cost Estimates:</t>
  </si>
  <si>
    <t>Single loaded corridors.  Resident rooms on one side with exterior open on the other</t>
  </si>
  <si>
    <t>Note: Please input values in cells highlighted in yellow.  Gray cells contain formulas.</t>
  </si>
  <si>
    <t>Note: Under Option A, the cost neutrality calculation will assume that reductions in patient days follow the same pattern as the reduction in licensed beds shown in the table below.  Starting and ending patient days will be taken from Schedules A1 and A2, respectively, as provided on the next page.  If this assumption is not appropriate, you may overide the formula in Cells D21:S22 on the "Cost Analysis" worksheet.</t>
  </si>
  <si>
    <t>Estimated Project Completion Date</t>
  </si>
  <si>
    <t>Values posted from user input cells</t>
  </si>
  <si>
    <t>Computed values</t>
  </si>
  <si>
    <t>DLTC assumptions</t>
  </si>
  <si>
    <t xml:space="preserve">          transition period. Do not delete.</t>
  </si>
  <si>
    <t>Successful applications will feature multiple design elements that are demonstrably aligned to a resident-centered, home-like vision for the project.</t>
  </si>
  <si>
    <t>Applications that assume significant changes in the facility's proportion of Medicaid days (compared to historical experience) in order to project cost neutrality will be scored lower, and may not succeed.</t>
  </si>
  <si>
    <t>Yes, and 15% Min. Census Reduction</t>
  </si>
  <si>
    <t>Active Licensed Beds</t>
  </si>
  <si>
    <t>Restricted Use Beds</t>
  </si>
  <si>
    <t>Total Beds</t>
  </si>
  <si>
    <t>Resident Census</t>
  </si>
  <si>
    <t>Percent Reduction in Census</t>
  </si>
  <si>
    <t>Madison, WI   53706-1234</t>
  </si>
  <si>
    <t>Please be advised that we shall carefully scrutinize assumptions surrounding the relative mix of projected Medicaid days compared to Medicare and/or private pay.  Any application that relies on a significant decrease in the proportion of MA days to achieve cost neutrality will be scored lower and may not be approved.</t>
  </si>
  <si>
    <t>Please provide reasons the decrease in the projected decrease in the proprotion of Medicaid days.</t>
  </si>
  <si>
    <t>Renovations will attract private=pay residents,…</t>
  </si>
  <si>
    <t>1a.  Medicaid (T-19)</t>
  </si>
  <si>
    <t>1b. FDD Medicaid (T-19)</t>
  </si>
  <si>
    <t>1c. Family Care (T-19)</t>
  </si>
  <si>
    <t>1d. Other Partnership Programs (T-19)</t>
  </si>
  <si>
    <t>1e. Hospice (T-19)</t>
  </si>
  <si>
    <t>1f. Ventilator (T-19)</t>
  </si>
  <si>
    <t>2.  Medicare (T-18)</t>
  </si>
  <si>
    <t>3.  Private pay &amp; Insurance</t>
  </si>
  <si>
    <t>4. Other - Specify</t>
  </si>
  <si>
    <t>5. TOTAL INHOUSE PATIENT DAYS</t>
  </si>
  <si>
    <t>6a.  Medicaid (T-19)</t>
  </si>
  <si>
    <t>6b. FDD Medicaid and Family Care (T19)</t>
  </si>
  <si>
    <t>8.  TOTAL BEDHOLD DAYS</t>
  </si>
  <si>
    <t>9. TOTAL DAYS (lines 5+8)</t>
  </si>
  <si>
    <t>Reminder: The estimated final rate should reflect both the incentives for which you are applying, as well as other incentives and rate effects that may result, such as the private room incentive, small-facility case mix adjustment, etc.</t>
  </si>
  <si>
    <t>Percent of Medicaid Patient Day Reduction Shifted to Other NH</t>
  </si>
  <si>
    <t>Percent of Medicaid Patient Day Reduction Shifted to Community Program</t>
  </si>
  <si>
    <t>Successful applications will be chosen via a competitive process.</t>
  </si>
  <si>
    <t xml:space="preserve">                  "Second Draft"  --- 2/6/13</t>
  </si>
  <si>
    <t xml:space="preserve"> "This is not the final application"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</si>
</sst>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quot;$&quot;* #,##0_);_(&quot;$&quot;* \(#,##0\);_(&quot;$&quot;* &quot;-&quot;??_);_(@_)"/>
    <numFmt numFmtId="167" formatCode="[$-409]mmm\-yy;@"/>
  </numFmts>
  <fonts count="112">
    <font>
      <sz val="11"/>
      <color theme="1"/>
      <name val="Calibri"/>
      <family val="2"/>
    </font>
    <font>
      <sz val="11"/>
      <color indexed="8"/>
      <name val="Calibri"/>
      <family val="2"/>
    </font>
    <font>
      <b/>
      <sz val="11"/>
      <color indexed="8"/>
      <name val="Arial"/>
      <family val="2"/>
    </font>
    <font>
      <b/>
      <sz val="16"/>
      <color indexed="8"/>
      <name val="Arial"/>
      <family val="2"/>
    </font>
    <font>
      <sz val="11"/>
      <color indexed="8"/>
      <name val="Arial"/>
      <family val="2"/>
    </font>
    <font>
      <sz val="12"/>
      <color indexed="8"/>
      <name val="Arial"/>
      <family val="2"/>
    </font>
    <font>
      <sz val="7"/>
      <color indexed="8"/>
      <name val="Arial"/>
      <family val="2"/>
    </font>
    <font>
      <sz val="11"/>
      <color indexed="10"/>
      <name val="Arial"/>
      <family val="2"/>
    </font>
    <font>
      <i/>
      <sz val="11"/>
      <color indexed="8"/>
      <name val="Arial"/>
      <family val="2"/>
    </font>
    <font>
      <sz val="9"/>
      <color indexed="8"/>
      <name val="Arial"/>
      <family val="2"/>
    </font>
    <font>
      <b/>
      <sz val="9"/>
      <color indexed="8"/>
      <name val="Arial"/>
      <family val="2"/>
    </font>
    <font>
      <i/>
      <sz val="11"/>
      <color indexed="55"/>
      <name val="Arial"/>
      <family val="2"/>
    </font>
    <font>
      <b/>
      <sz val="14"/>
      <color indexed="8"/>
      <name val="Arial"/>
      <family val="2"/>
    </font>
    <font>
      <b/>
      <sz val="20"/>
      <color indexed="8"/>
      <name val="Arial"/>
      <family val="2"/>
    </font>
    <font>
      <b/>
      <sz val="11"/>
      <color indexed="8"/>
      <name val="Calibri"/>
      <family val="2"/>
    </font>
    <font>
      <sz val="20"/>
      <color indexed="8"/>
      <name val="Arial"/>
      <family val="2"/>
    </font>
    <font>
      <sz val="11"/>
      <name val="Arial"/>
      <family val="2"/>
    </font>
    <font>
      <sz val="11"/>
      <name val="Calibri"/>
      <family val="2"/>
    </font>
    <font>
      <sz val="10"/>
      <name val="Arial"/>
      <family val="2"/>
    </font>
    <font>
      <i/>
      <sz val="11"/>
      <name val="Arial"/>
      <family val="2"/>
    </font>
    <font>
      <sz val="12"/>
      <name val="Arial"/>
      <family val="2"/>
    </font>
    <font>
      <b/>
      <sz val="12"/>
      <color indexed="8"/>
      <name val="Arial"/>
      <family val="2"/>
    </font>
    <font>
      <b/>
      <sz val="11"/>
      <color indexed="9"/>
      <name val="Arial"/>
      <family val="2"/>
    </font>
    <font>
      <i/>
      <sz val="11"/>
      <color indexed="8"/>
      <name val="Calibri"/>
      <family val="2"/>
    </font>
    <font>
      <b/>
      <sz val="11"/>
      <color indexed="9"/>
      <name val="Calibri"/>
      <family val="2"/>
    </font>
    <font>
      <b/>
      <i/>
      <sz val="12"/>
      <color indexed="8"/>
      <name val="Arial"/>
      <family val="2"/>
    </font>
    <font>
      <b/>
      <i/>
      <sz val="11"/>
      <color indexed="8"/>
      <name val="Calibri"/>
      <family val="2"/>
    </font>
    <font>
      <b/>
      <u val="single"/>
      <sz val="11"/>
      <color indexed="8"/>
      <name val="Arial"/>
      <family val="2"/>
    </font>
    <font>
      <b/>
      <u val="single"/>
      <sz val="12"/>
      <color indexed="8"/>
      <name val="Arial"/>
      <family val="2"/>
    </font>
    <font>
      <b/>
      <i/>
      <sz val="14"/>
      <color indexed="8"/>
      <name val="Arial"/>
      <family val="2"/>
    </font>
    <font>
      <b/>
      <sz val="12"/>
      <color indexed="8"/>
      <name val="Calibri"/>
      <family val="2"/>
    </font>
    <font>
      <sz val="12"/>
      <color indexed="8"/>
      <name val="Calibri"/>
      <family val="2"/>
    </font>
    <font>
      <b/>
      <i/>
      <sz val="12"/>
      <name val="Arial"/>
      <family val="2"/>
    </font>
    <font>
      <u val="single"/>
      <sz val="11"/>
      <color indexed="12"/>
      <name val="Calibri"/>
      <family val="2"/>
    </font>
    <font>
      <u val="single"/>
      <sz val="12"/>
      <color indexed="12"/>
      <name val="Calibri"/>
      <family val="2"/>
    </font>
    <font>
      <sz val="14"/>
      <color indexed="8"/>
      <name val="Calibri"/>
      <family val="2"/>
    </font>
    <font>
      <sz val="22"/>
      <color indexed="8"/>
      <name val="Calibri"/>
      <family val="2"/>
    </font>
    <font>
      <b/>
      <sz val="18"/>
      <color indexed="8"/>
      <name val="Calibri"/>
      <family val="2"/>
    </font>
    <font>
      <b/>
      <sz val="22"/>
      <color indexed="8"/>
      <name val="Arial"/>
      <family val="2"/>
    </font>
    <font>
      <sz val="12"/>
      <color indexed="9"/>
      <name val="Arial"/>
      <family val="2"/>
    </font>
    <font>
      <b/>
      <u val="single"/>
      <sz val="11"/>
      <name val="Arial"/>
      <family val="2"/>
    </font>
    <font>
      <b/>
      <i/>
      <sz val="12"/>
      <color indexed="8"/>
      <name val="Calibri"/>
      <family val="2"/>
    </font>
    <font>
      <sz val="11"/>
      <color indexed="9"/>
      <name val="Calibri"/>
      <family val="2"/>
    </font>
    <font>
      <b/>
      <sz val="11"/>
      <name val="Calibri"/>
      <family val="2"/>
    </font>
    <font>
      <b/>
      <i/>
      <sz val="11"/>
      <color indexed="9"/>
      <name val="Arial"/>
      <family val="2"/>
    </font>
    <font>
      <b/>
      <i/>
      <sz val="11"/>
      <color indexed="9"/>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12"/>
      <color theme="1"/>
      <name val="Arial"/>
      <family val="2"/>
    </font>
    <font>
      <sz val="7"/>
      <color theme="1"/>
      <name val="Arial"/>
      <family val="2"/>
    </font>
    <font>
      <sz val="11"/>
      <color rgb="FFFF0000"/>
      <name val="Arial"/>
      <family val="2"/>
    </font>
    <font>
      <i/>
      <sz val="11"/>
      <color theme="1"/>
      <name val="Arial"/>
      <family val="2"/>
    </font>
    <font>
      <b/>
      <sz val="9"/>
      <color theme="1"/>
      <name val="Arial"/>
      <family val="2"/>
    </font>
    <font>
      <sz val="9"/>
      <color theme="1"/>
      <name val="Arial"/>
      <family val="2"/>
    </font>
    <font>
      <b/>
      <sz val="16"/>
      <color theme="1"/>
      <name val="Arial"/>
      <family val="2"/>
    </font>
    <font>
      <i/>
      <sz val="11"/>
      <color theme="0" tint="-0.24997000396251678"/>
      <name val="Arial"/>
      <family val="2"/>
    </font>
    <font>
      <b/>
      <sz val="11"/>
      <color theme="1"/>
      <name val="Arial"/>
      <family val="2"/>
    </font>
    <font>
      <sz val="20"/>
      <color theme="1"/>
      <name val="Arial"/>
      <family val="2"/>
    </font>
    <font>
      <b/>
      <sz val="12"/>
      <color theme="1"/>
      <name val="Arial"/>
      <family val="2"/>
    </font>
    <font>
      <b/>
      <sz val="11"/>
      <color theme="0"/>
      <name val="Arial"/>
      <family val="2"/>
    </font>
    <font>
      <i/>
      <sz val="11"/>
      <color theme="1"/>
      <name val="Calibri"/>
      <family val="2"/>
    </font>
    <font>
      <b/>
      <i/>
      <sz val="12"/>
      <color theme="1"/>
      <name val="Arial"/>
      <family val="2"/>
    </font>
    <font>
      <b/>
      <u val="single"/>
      <sz val="12"/>
      <color theme="1"/>
      <name val="Arial"/>
      <family val="2"/>
    </font>
    <font>
      <b/>
      <i/>
      <sz val="14"/>
      <color theme="1"/>
      <name val="Arial"/>
      <family val="2"/>
    </font>
    <font>
      <b/>
      <sz val="20"/>
      <color theme="1"/>
      <name val="Arial"/>
      <family val="2"/>
    </font>
    <font>
      <b/>
      <sz val="14"/>
      <color theme="1"/>
      <name val="Arial"/>
      <family val="2"/>
    </font>
    <font>
      <sz val="11"/>
      <color rgb="FF000000"/>
      <name val="Arial"/>
      <family val="2"/>
    </font>
    <font>
      <b/>
      <sz val="18"/>
      <color theme="1"/>
      <name val="Calibri"/>
      <family val="2"/>
    </font>
    <font>
      <sz val="12"/>
      <color theme="0"/>
      <name val="Arial"/>
      <family val="2"/>
    </font>
    <font>
      <b/>
      <sz val="12"/>
      <color theme="1"/>
      <name val="Calibri"/>
      <family val="2"/>
    </font>
    <font>
      <b/>
      <u val="single"/>
      <sz val="11"/>
      <color rgb="FF000000"/>
      <name val="Arial"/>
      <family val="2"/>
    </font>
    <font>
      <b/>
      <u val="single"/>
      <sz val="11"/>
      <color theme="1"/>
      <name val="Arial"/>
      <family val="2"/>
    </font>
    <font>
      <b/>
      <sz val="12"/>
      <color rgb="FF000000"/>
      <name val="Arial"/>
      <family val="2"/>
    </font>
    <font>
      <b/>
      <sz val="22"/>
      <color theme="1"/>
      <name val="Arial"/>
      <family val="2"/>
    </font>
    <font>
      <sz val="22"/>
      <color theme="1"/>
      <name val="Calibri"/>
      <family val="2"/>
    </font>
    <font>
      <b/>
      <sz val="11"/>
      <color rgb="FF000000"/>
      <name val="Arial"/>
      <family val="2"/>
    </font>
    <font>
      <sz val="12"/>
      <color theme="1"/>
      <name val="Calibri"/>
      <family val="2"/>
    </font>
    <font>
      <u val="single"/>
      <sz val="12"/>
      <color theme="10"/>
      <name val="Calibri"/>
      <family val="2"/>
    </font>
    <font>
      <b/>
      <i/>
      <sz val="11"/>
      <color theme="1"/>
      <name val="Calibri"/>
      <family val="2"/>
    </font>
    <font>
      <b/>
      <i/>
      <sz val="12"/>
      <color theme="1"/>
      <name val="Calibri"/>
      <family val="2"/>
    </font>
    <font>
      <b/>
      <i/>
      <sz val="11"/>
      <color theme="0"/>
      <name val="Arial"/>
      <family val="2"/>
    </font>
    <font>
      <b/>
      <i/>
      <sz val="11"/>
      <color theme="0"/>
      <name val="Calibri"/>
      <family val="2"/>
    </font>
    <font>
      <sz val="14"/>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FF00"/>
        <bgColor indexed="64"/>
      </patternFill>
    </fill>
    <fill>
      <patternFill patternType="solid">
        <fgColor theme="3" tint="0.7999799847602844"/>
        <bgColor indexed="64"/>
      </patternFill>
    </fill>
    <fill>
      <patternFill patternType="solid">
        <fgColor theme="0" tint="-0.04997999966144562"/>
        <bgColor indexed="64"/>
      </patternFill>
    </fill>
    <fill>
      <patternFill patternType="solid">
        <fgColor rgb="FFFFC00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top/>
      <bottom/>
    </border>
    <border>
      <left/>
      <right/>
      <top/>
      <bottom style="medium"/>
    </border>
    <border>
      <left/>
      <right/>
      <top style="medium"/>
      <bottom/>
    </border>
    <border>
      <left/>
      <right/>
      <top style="medium"/>
      <bottom style="medium"/>
    </border>
    <border>
      <left/>
      <right style="medium"/>
      <top style="medium"/>
      <bottom style="medium"/>
    </border>
    <border>
      <left/>
      <right style="thin"/>
      <top/>
      <bottom/>
    </border>
    <border>
      <left/>
      <right style="medium"/>
      <top/>
      <bottom style="medium"/>
    </border>
    <border>
      <left style="medium"/>
      <right style="medium"/>
      <top/>
      <bottom style="medium"/>
    </border>
    <border>
      <left style="medium"/>
      <right style="medium"/>
      <top style="medium"/>
      <bottom style="medium"/>
    </border>
    <border>
      <left style="thin"/>
      <right/>
      <top/>
      <bottom/>
    </border>
    <border>
      <left style="medium"/>
      <right/>
      <top style="medium"/>
      <bottom style="medium"/>
    </border>
    <border>
      <left style="medium"/>
      <right style="thin"/>
      <top/>
      <bottom style="medium"/>
    </border>
    <border>
      <left style="thin"/>
      <right style="thin"/>
      <top/>
      <bottom style="medium"/>
    </border>
    <border>
      <left style="thin"/>
      <right style="medium"/>
      <top/>
      <bottom style="medium"/>
    </border>
    <border>
      <left style="thin"/>
      <right style="thin"/>
      <top style="medium"/>
      <bottom style="medium"/>
    </border>
    <border>
      <left style="thin"/>
      <right style="medium"/>
      <top style="medium"/>
      <bottom style="medium"/>
    </border>
    <border>
      <left style="medium"/>
      <right style="thin"/>
      <top style="medium"/>
      <bottom/>
    </border>
    <border>
      <left style="thin"/>
      <right style="thin"/>
      <top style="medium"/>
      <bottom style="thin"/>
    </border>
    <border>
      <left style="thin"/>
      <right style="thin"/>
      <top style="medium"/>
      <bottom/>
    </border>
    <border>
      <left style="thin"/>
      <right style="medium"/>
      <top style="medium"/>
      <bottom/>
    </border>
    <border>
      <left/>
      <right style="thin"/>
      <top style="thin"/>
      <bottom style="medium"/>
    </border>
    <border>
      <left style="thin"/>
      <right style="thin"/>
      <top style="thin"/>
      <bottom style="medium"/>
    </border>
    <border>
      <left style="medium"/>
      <right style="thin"/>
      <top style="medium"/>
      <bottom style="medium"/>
    </border>
    <border>
      <left style="medium"/>
      <right/>
      <top style="medium"/>
      <bottom/>
    </border>
    <border>
      <left/>
      <right style="medium"/>
      <top style="medium"/>
      <bottom/>
    </border>
    <border>
      <left style="medium"/>
      <right/>
      <top/>
      <bottom style="medium"/>
    </border>
    <border>
      <left style="thin"/>
      <right style="medium"/>
      <top style="thin"/>
      <bottom style="medium"/>
    </border>
    <border>
      <left style="thin"/>
      <right style="thin"/>
      <top/>
      <bottom style="thin"/>
    </border>
    <border>
      <left style="thin"/>
      <right style="medium"/>
      <top/>
      <bottom style="thin"/>
    </border>
    <border>
      <left style="medium"/>
      <right style="medium"/>
      <top/>
      <bottom style="thin"/>
    </border>
    <border>
      <left style="medium"/>
      <right style="medium"/>
      <top style="thin"/>
      <bottom style="medium"/>
    </border>
    <border>
      <left/>
      <right style="thin"/>
      <top style="medium"/>
      <bottom style="medium"/>
    </border>
    <border>
      <left style="medium"/>
      <right style="medium"/>
      <top style="thin"/>
      <bottom style="thin"/>
    </border>
    <border>
      <left/>
      <right style="thin"/>
      <top style="thin"/>
      <bottom style="thin"/>
    </border>
    <border>
      <left style="thin"/>
      <right style="thin"/>
      <top style="thin"/>
      <bottom style="thin"/>
    </border>
    <border>
      <left style="thin"/>
      <right style="medium"/>
      <top style="thin"/>
      <bottom style="thin"/>
    </border>
    <border>
      <left/>
      <right/>
      <top style="medium"/>
      <bottom style="double"/>
    </border>
    <border>
      <left/>
      <right/>
      <top/>
      <bottom style="double"/>
    </border>
    <border>
      <left/>
      <right style="thin"/>
      <top/>
      <bottom style="thin"/>
    </border>
    <border>
      <left style="medium"/>
      <right/>
      <top/>
      <bottom/>
    </border>
    <border>
      <left/>
      <right/>
      <top/>
      <bottom style="hair"/>
    </border>
    <border>
      <left/>
      <right/>
      <top style="hair"/>
      <bottom style="hair"/>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18" fillId="0" borderId="0">
      <alignment/>
      <protection/>
    </xf>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325">
    <xf numFmtId="0" fontId="0" fillId="0" borderId="0" xfId="0" applyFont="1" applyAlignment="1">
      <alignment/>
    </xf>
    <xf numFmtId="0" fontId="76" fillId="0" borderId="0" xfId="0" applyFont="1" applyAlignment="1">
      <alignment vertical="center"/>
    </xf>
    <xf numFmtId="0" fontId="76" fillId="0" borderId="10" xfId="0" applyFont="1" applyBorder="1" applyAlignment="1">
      <alignment vertical="center" wrapText="1"/>
    </xf>
    <xf numFmtId="0" fontId="77" fillId="0" borderId="0" xfId="0" applyFont="1" applyAlignment="1">
      <alignment vertical="center" wrapText="1"/>
    </xf>
    <xf numFmtId="0" fontId="77" fillId="0" borderId="10" xfId="0" applyFont="1" applyBorder="1" applyAlignment="1">
      <alignment vertical="center" wrapText="1"/>
    </xf>
    <xf numFmtId="0" fontId="77" fillId="0" borderId="11" xfId="0" applyFont="1" applyBorder="1" applyAlignment="1">
      <alignment vertical="center" wrapText="1"/>
    </xf>
    <xf numFmtId="0" fontId="78" fillId="0" borderId="0" xfId="0" applyFont="1" applyAlignment="1">
      <alignment vertical="center" wrapText="1"/>
    </xf>
    <xf numFmtId="0" fontId="78" fillId="0" borderId="12" xfId="0" applyFont="1" applyBorder="1" applyAlignment="1">
      <alignment vertical="center" wrapText="1"/>
    </xf>
    <xf numFmtId="0" fontId="76" fillId="0" borderId="0" xfId="0" applyFont="1" applyAlignment="1">
      <alignment horizontal="right" vertical="center" wrapText="1"/>
    </xf>
    <xf numFmtId="0" fontId="77" fillId="0" borderId="11" xfId="0" applyFont="1" applyBorder="1" applyAlignment="1">
      <alignment horizontal="left" vertical="center" wrapText="1" indent="5"/>
    </xf>
    <xf numFmtId="0" fontId="0" fillId="0" borderId="0" xfId="0" applyAlignment="1">
      <alignment vertical="center" wrapText="1"/>
    </xf>
    <xf numFmtId="0" fontId="79" fillId="0" borderId="0" xfId="0" applyFont="1" applyAlignment="1">
      <alignment vertical="center"/>
    </xf>
    <xf numFmtId="0" fontId="80" fillId="0" borderId="0" xfId="0" applyFont="1" applyAlignment="1">
      <alignment vertical="center"/>
    </xf>
    <xf numFmtId="0" fontId="80" fillId="0" borderId="11" xfId="0" applyFont="1" applyBorder="1" applyAlignment="1">
      <alignment horizontal="center" vertical="center" wrapText="1"/>
    </xf>
    <xf numFmtId="0" fontId="80" fillId="0" borderId="13" xfId="0" applyFont="1" applyBorder="1" applyAlignment="1">
      <alignment horizontal="center" vertical="center" wrapText="1"/>
    </xf>
    <xf numFmtId="0" fontId="80" fillId="0" borderId="14" xfId="0" applyFont="1" applyBorder="1" applyAlignment="1">
      <alignment horizontal="center" vertical="center" wrapText="1"/>
    </xf>
    <xf numFmtId="0" fontId="76" fillId="0" borderId="0" xfId="0" applyFont="1" applyAlignment="1">
      <alignment/>
    </xf>
    <xf numFmtId="0" fontId="81" fillId="0" borderId="0" xfId="0" applyFont="1" applyAlignment="1">
      <alignment vertical="center" wrapText="1"/>
    </xf>
    <xf numFmtId="0" fontId="81" fillId="0" borderId="0" xfId="0" applyFont="1" applyAlignment="1">
      <alignment horizontal="center" vertical="center" wrapText="1"/>
    </xf>
    <xf numFmtId="0" fontId="81" fillId="0" borderId="11" xfId="0" applyFont="1" applyBorder="1" applyAlignment="1">
      <alignment horizontal="center" vertical="center" wrapText="1"/>
    </xf>
    <xf numFmtId="0" fontId="82" fillId="0" borderId="0" xfId="0" applyFont="1" applyAlignment="1">
      <alignment vertical="center"/>
    </xf>
    <xf numFmtId="0" fontId="76" fillId="0" borderId="10" xfId="0" applyFont="1" applyBorder="1" applyAlignment="1">
      <alignment horizontal="left" vertical="center" wrapText="1" indent="2"/>
    </xf>
    <xf numFmtId="0" fontId="83" fillId="0" borderId="0" xfId="0" applyFont="1" applyAlignment="1">
      <alignment vertical="center"/>
    </xf>
    <xf numFmtId="0" fontId="0" fillId="0" borderId="0" xfId="0" applyAlignment="1">
      <alignment/>
    </xf>
    <xf numFmtId="0" fontId="76" fillId="0" borderId="0" xfId="0" applyFont="1" applyAlignment="1">
      <alignment/>
    </xf>
    <xf numFmtId="0" fontId="0" fillId="0" borderId="0" xfId="0" applyAlignment="1">
      <alignment horizontal="centerContinuous"/>
    </xf>
    <xf numFmtId="0" fontId="81" fillId="0" borderId="11" xfId="0" applyFont="1" applyBorder="1" applyAlignment="1">
      <alignment vertical="center"/>
    </xf>
    <xf numFmtId="0" fontId="76" fillId="0" borderId="0" xfId="0" applyFont="1" applyAlignment="1">
      <alignment horizontal="left"/>
    </xf>
    <xf numFmtId="0" fontId="76" fillId="0" borderId="0" xfId="0" applyFont="1" applyAlignment="1" quotePrefix="1">
      <alignment horizontal="left"/>
    </xf>
    <xf numFmtId="0" fontId="76" fillId="0" borderId="15" xfId="0" applyFont="1" applyBorder="1" applyAlignment="1">
      <alignment/>
    </xf>
    <xf numFmtId="0" fontId="76" fillId="0" borderId="0" xfId="0" applyFont="1" applyAlignment="1">
      <alignment horizontal="center"/>
    </xf>
    <xf numFmtId="0" fontId="76" fillId="0" borderId="0" xfId="0" applyFont="1" applyAlignment="1">
      <alignment horizontal="left" indent="1"/>
    </xf>
    <xf numFmtId="164" fontId="76" fillId="0" borderId="0" xfId="42" applyNumberFormat="1" applyFont="1" applyAlignment="1">
      <alignment/>
    </xf>
    <xf numFmtId="164" fontId="76" fillId="0" borderId="15" xfId="42" applyNumberFormat="1" applyFont="1" applyBorder="1" applyAlignment="1">
      <alignment/>
    </xf>
    <xf numFmtId="0" fontId="76" fillId="0" borderId="0" xfId="0" applyFont="1" applyAlignment="1" quotePrefix="1">
      <alignment horizontal="left" indent="2"/>
    </xf>
    <xf numFmtId="0" fontId="76" fillId="0" borderId="0" xfId="0" applyFont="1" applyAlignment="1" quotePrefix="1">
      <alignment horizontal="left" indent="1"/>
    </xf>
    <xf numFmtId="0" fontId="80" fillId="0" borderId="0" xfId="0" applyFont="1" applyAlignment="1" quotePrefix="1">
      <alignment horizontal="right"/>
    </xf>
    <xf numFmtId="9" fontId="80" fillId="0" borderId="15" xfId="59" applyFont="1" applyBorder="1" applyAlignment="1">
      <alignment/>
    </xf>
    <xf numFmtId="9" fontId="80" fillId="0" borderId="0" xfId="59" applyFont="1" applyAlignment="1">
      <alignment/>
    </xf>
    <xf numFmtId="0" fontId="80" fillId="0" borderId="0" xfId="0" applyFont="1" applyAlignment="1" quotePrefix="1">
      <alignment horizontal="left"/>
    </xf>
    <xf numFmtId="165" fontId="84" fillId="0" borderId="15" xfId="59" applyNumberFormat="1" applyFont="1" applyBorder="1" applyAlignment="1">
      <alignment/>
    </xf>
    <xf numFmtId="165" fontId="84" fillId="0" borderId="0" xfId="59" applyNumberFormat="1" applyFont="1" applyAlignment="1">
      <alignment/>
    </xf>
    <xf numFmtId="0" fontId="76" fillId="0" borderId="0" xfId="0" applyFont="1" applyAlignment="1">
      <alignment horizontal="left" indent="2"/>
    </xf>
    <xf numFmtId="0" fontId="76" fillId="0" borderId="15" xfId="0" applyFont="1" applyFill="1" applyBorder="1" applyAlignment="1">
      <alignment/>
    </xf>
    <xf numFmtId="0" fontId="76" fillId="0" borderId="0" xfId="0" applyFont="1" applyFill="1" applyAlignment="1">
      <alignment/>
    </xf>
    <xf numFmtId="0" fontId="85" fillId="0" borderId="0" xfId="0" applyFont="1" applyAlignment="1" quotePrefix="1">
      <alignment horizontal="left"/>
    </xf>
    <xf numFmtId="0" fontId="76" fillId="0" borderId="0" xfId="0" applyFont="1" applyAlignment="1">
      <alignment horizontal="right"/>
    </xf>
    <xf numFmtId="0" fontId="77" fillId="0" borderId="0" xfId="0" applyFont="1" applyBorder="1" applyAlignment="1">
      <alignment vertical="center" wrapText="1"/>
    </xf>
    <xf numFmtId="0" fontId="0" fillId="0" borderId="10" xfId="0" applyBorder="1" applyAlignment="1">
      <alignment/>
    </xf>
    <xf numFmtId="164" fontId="76" fillId="33" borderId="15" xfId="42" applyNumberFormat="1" applyFont="1" applyFill="1" applyBorder="1" applyAlignment="1">
      <alignment/>
    </xf>
    <xf numFmtId="164" fontId="76" fillId="33" borderId="0" xfId="42" applyNumberFormat="1" applyFont="1" applyFill="1" applyAlignment="1">
      <alignment/>
    </xf>
    <xf numFmtId="164" fontId="77" fillId="34" borderId="16" xfId="42" applyNumberFormat="1" applyFont="1" applyFill="1" applyBorder="1" applyAlignment="1">
      <alignment vertical="center" wrapText="1"/>
    </xf>
    <xf numFmtId="164" fontId="82" fillId="34" borderId="11" xfId="42" applyNumberFormat="1" applyFont="1" applyFill="1" applyBorder="1" applyAlignment="1">
      <alignment vertical="center" wrapText="1"/>
    </xf>
    <xf numFmtId="164" fontId="82" fillId="0" borderId="0" xfId="42" applyNumberFormat="1" applyFont="1" applyAlignment="1">
      <alignment vertical="center" wrapText="1"/>
    </xf>
    <xf numFmtId="164" fontId="82" fillId="34" borderId="13" xfId="42" applyNumberFormat="1" applyFont="1" applyFill="1" applyBorder="1" applyAlignment="1">
      <alignment vertical="center" wrapText="1"/>
    </xf>
    <xf numFmtId="164" fontId="82" fillId="33" borderId="11" xfId="42" applyNumberFormat="1" applyFont="1" applyFill="1" applyBorder="1" applyAlignment="1">
      <alignment vertical="center" wrapText="1"/>
    </xf>
    <xf numFmtId="164" fontId="82" fillId="34" borderId="0" xfId="42" applyNumberFormat="1" applyFont="1" applyFill="1" applyAlignment="1">
      <alignment vertical="center" wrapText="1"/>
    </xf>
    <xf numFmtId="164" fontId="81" fillId="0" borderId="0" xfId="42" applyNumberFormat="1" applyFont="1" applyAlignment="1">
      <alignment vertical="center" wrapText="1"/>
    </xf>
    <xf numFmtId="164" fontId="81" fillId="0" borderId="0" xfId="42" applyNumberFormat="1" applyFont="1" applyAlignment="1">
      <alignment horizontal="center" vertical="center" wrapText="1"/>
    </xf>
    <xf numFmtId="164" fontId="81" fillId="0" borderId="11" xfId="42" applyNumberFormat="1" applyFont="1" applyBorder="1" applyAlignment="1">
      <alignment horizontal="center" vertical="center" wrapText="1"/>
    </xf>
    <xf numFmtId="164" fontId="82" fillId="34" borderId="12" xfId="42" applyNumberFormat="1" applyFont="1" applyFill="1" applyBorder="1" applyAlignment="1">
      <alignment vertical="center" wrapText="1"/>
    </xf>
    <xf numFmtId="164" fontId="82" fillId="33" borderId="12" xfId="42" applyNumberFormat="1" applyFont="1" applyFill="1" applyBorder="1" applyAlignment="1">
      <alignment vertical="center" wrapText="1"/>
    </xf>
    <xf numFmtId="164" fontId="82" fillId="33" borderId="13" xfId="42" applyNumberFormat="1" applyFont="1" applyFill="1" applyBorder="1" applyAlignment="1">
      <alignment vertical="center" wrapText="1"/>
    </xf>
    <xf numFmtId="9" fontId="80" fillId="33" borderId="15" xfId="59" applyFont="1" applyFill="1" applyBorder="1" applyAlignment="1">
      <alignment/>
    </xf>
    <xf numFmtId="9" fontId="80" fillId="33" borderId="0" xfId="59" applyFont="1" applyFill="1" applyAlignment="1">
      <alignment/>
    </xf>
    <xf numFmtId="0" fontId="86" fillId="0" borderId="0" xfId="0" applyFont="1" applyFill="1" applyBorder="1" applyAlignment="1">
      <alignment/>
    </xf>
    <xf numFmtId="0" fontId="16" fillId="0" borderId="0" xfId="0" applyFont="1" applyAlignment="1">
      <alignment vertical="center"/>
    </xf>
    <xf numFmtId="0" fontId="16" fillId="0" borderId="0" xfId="0" applyFont="1" applyAlignment="1">
      <alignment horizontal="left" vertical="center" indent="1"/>
    </xf>
    <xf numFmtId="0" fontId="17" fillId="0" borderId="0" xfId="0" applyFont="1" applyAlignment="1">
      <alignment/>
    </xf>
    <xf numFmtId="0" fontId="19" fillId="0" borderId="0" xfId="0" applyFont="1" applyAlignment="1">
      <alignment vertical="center"/>
    </xf>
    <xf numFmtId="0" fontId="16" fillId="0" borderId="0" xfId="0" applyFont="1" applyAlignment="1">
      <alignment/>
    </xf>
    <xf numFmtId="0" fontId="16" fillId="0" borderId="0" xfId="0" applyFont="1" applyAlignment="1">
      <alignment horizontal="left" vertical="center" indent="2"/>
    </xf>
    <xf numFmtId="0" fontId="16" fillId="0" borderId="0" xfId="0" applyFont="1" applyAlignment="1">
      <alignment horizontal="center" vertical="center"/>
    </xf>
    <xf numFmtId="44" fontId="76" fillId="33" borderId="0" xfId="44" applyFont="1" applyFill="1" applyAlignment="1">
      <alignment/>
    </xf>
    <xf numFmtId="44" fontId="76" fillId="33" borderId="15" xfId="44" applyFont="1" applyFill="1" applyBorder="1" applyAlignment="1">
      <alignment/>
    </xf>
    <xf numFmtId="44" fontId="76" fillId="35" borderId="15" xfId="44" applyFont="1" applyFill="1" applyBorder="1" applyAlignment="1">
      <alignment/>
    </xf>
    <xf numFmtId="166" fontId="76" fillId="35" borderId="15" xfId="44" applyNumberFormat="1" applyFont="1" applyFill="1" applyBorder="1" applyAlignment="1">
      <alignment/>
    </xf>
    <xf numFmtId="166" fontId="76" fillId="33" borderId="0" xfId="44" applyNumberFormat="1" applyFont="1" applyFill="1" applyAlignment="1">
      <alignment/>
    </xf>
    <xf numFmtId="166" fontId="76" fillId="33" borderId="15" xfId="44" applyNumberFormat="1" applyFont="1" applyFill="1" applyBorder="1" applyAlignment="1">
      <alignment/>
    </xf>
    <xf numFmtId="165" fontId="76" fillId="35" borderId="15" xfId="59" applyNumberFormat="1" applyFont="1" applyFill="1" applyBorder="1" applyAlignment="1">
      <alignment horizontal="center"/>
    </xf>
    <xf numFmtId="165" fontId="76" fillId="33" borderId="0" xfId="59" applyNumberFormat="1" applyFont="1" applyFill="1" applyAlignment="1">
      <alignment horizontal="center"/>
    </xf>
    <xf numFmtId="165" fontId="76" fillId="33" borderId="15" xfId="59" applyNumberFormat="1" applyFont="1" applyFill="1" applyBorder="1" applyAlignment="1">
      <alignment horizontal="center"/>
    </xf>
    <xf numFmtId="164" fontId="76" fillId="33" borderId="15" xfId="0" applyNumberFormat="1" applyFont="1" applyFill="1" applyBorder="1" applyAlignment="1">
      <alignment/>
    </xf>
    <xf numFmtId="164" fontId="76" fillId="33" borderId="0" xfId="0" applyNumberFormat="1" applyFont="1" applyFill="1" applyAlignment="1">
      <alignment/>
    </xf>
    <xf numFmtId="0" fontId="0" fillId="0" borderId="15" xfId="0" applyBorder="1" applyAlignment="1">
      <alignment/>
    </xf>
    <xf numFmtId="0" fontId="87" fillId="34" borderId="17" xfId="0" applyFont="1" applyFill="1" applyBorder="1" applyAlignment="1">
      <alignment horizontal="center" vertical="center" wrapText="1"/>
    </xf>
    <xf numFmtId="164" fontId="77" fillId="33" borderId="11" xfId="0" applyNumberFormat="1" applyFont="1" applyFill="1" applyBorder="1" applyAlignment="1">
      <alignment vertical="center"/>
    </xf>
    <xf numFmtId="0" fontId="80" fillId="0" borderId="11" xfId="0" applyFont="1" applyBorder="1" applyAlignment="1" quotePrefix="1">
      <alignment horizontal="center" vertical="center" wrapText="1"/>
    </xf>
    <xf numFmtId="167" fontId="80" fillId="33" borderId="18" xfId="0" applyNumberFormat="1" applyFont="1" applyFill="1" applyBorder="1" applyAlignment="1" quotePrefix="1">
      <alignment horizontal="center" vertical="center" wrapText="1"/>
    </xf>
    <xf numFmtId="167" fontId="80" fillId="33" borderId="18" xfId="0" applyNumberFormat="1" applyFont="1" applyFill="1" applyBorder="1" applyAlignment="1">
      <alignment horizontal="center" vertical="center" wrapText="1"/>
    </xf>
    <xf numFmtId="0" fontId="76" fillId="0" borderId="0" xfId="0" applyFont="1" applyAlignment="1" quotePrefix="1">
      <alignment horizontal="left" vertical="center"/>
    </xf>
    <xf numFmtId="0" fontId="76" fillId="0" borderId="19" xfId="0" applyFont="1" applyBorder="1" applyAlignment="1">
      <alignment/>
    </xf>
    <xf numFmtId="164" fontId="76" fillId="33" borderId="19" xfId="42" applyNumberFormat="1" applyFont="1" applyFill="1" applyBorder="1" applyAlignment="1">
      <alignment/>
    </xf>
    <xf numFmtId="164" fontId="76" fillId="0" borderId="19" xfId="42" applyNumberFormat="1" applyFont="1" applyBorder="1" applyAlignment="1">
      <alignment/>
    </xf>
    <xf numFmtId="9" fontId="80" fillId="33" borderId="19" xfId="59" applyFont="1" applyFill="1" applyBorder="1" applyAlignment="1">
      <alignment/>
    </xf>
    <xf numFmtId="165" fontId="84" fillId="0" borderId="19" xfId="59" applyNumberFormat="1" applyFont="1" applyBorder="1" applyAlignment="1">
      <alignment/>
    </xf>
    <xf numFmtId="9" fontId="80" fillId="0" borderId="19" xfId="59" applyFont="1" applyBorder="1" applyAlignment="1">
      <alignment/>
    </xf>
    <xf numFmtId="0" fontId="0" fillId="0" borderId="19" xfId="0" applyBorder="1" applyAlignment="1">
      <alignment/>
    </xf>
    <xf numFmtId="44" fontId="76" fillId="33" borderId="19" xfId="44" applyFont="1" applyFill="1" applyBorder="1" applyAlignment="1">
      <alignment/>
    </xf>
    <xf numFmtId="0" fontId="76" fillId="0" borderId="19" xfId="0" applyFont="1" applyFill="1" applyBorder="1" applyAlignment="1">
      <alignment/>
    </xf>
    <xf numFmtId="166" fontId="76" fillId="33" borderId="19" xfId="44" applyNumberFormat="1" applyFont="1" applyFill="1" applyBorder="1" applyAlignment="1">
      <alignment/>
    </xf>
    <xf numFmtId="165" fontId="76" fillId="33" borderId="19" xfId="59" applyNumberFormat="1" applyFont="1" applyFill="1" applyBorder="1" applyAlignment="1">
      <alignment horizontal="center"/>
    </xf>
    <xf numFmtId="164" fontId="76" fillId="33" borderId="19" xfId="0" applyNumberFormat="1" applyFont="1" applyFill="1" applyBorder="1" applyAlignment="1">
      <alignment/>
    </xf>
    <xf numFmtId="0" fontId="88" fillId="0" borderId="0" xfId="0" applyNumberFormat="1" applyFont="1" applyFill="1" applyBorder="1" applyAlignment="1">
      <alignment horizontal="center"/>
    </xf>
    <xf numFmtId="0" fontId="77" fillId="0" borderId="0" xfId="0" applyFont="1" applyAlignment="1">
      <alignment vertical="center" wrapText="1"/>
    </xf>
    <xf numFmtId="0" fontId="89" fillId="0" borderId="0" xfId="0" applyFont="1" applyAlignment="1">
      <alignment/>
    </xf>
    <xf numFmtId="44" fontId="76" fillId="0" borderId="0" xfId="44" applyFont="1" applyAlignment="1">
      <alignment/>
    </xf>
    <xf numFmtId="0" fontId="85" fillId="0" borderId="18" xfId="0" applyFont="1" applyBorder="1" applyAlignment="1">
      <alignment horizontal="center" vertical="center" wrapText="1"/>
    </xf>
    <xf numFmtId="0" fontId="0" fillId="0" borderId="13" xfId="0" applyBorder="1" applyAlignment="1">
      <alignment/>
    </xf>
    <xf numFmtId="0" fontId="0" fillId="0" borderId="14" xfId="0" applyBorder="1" applyAlignment="1">
      <alignment/>
    </xf>
    <xf numFmtId="0" fontId="77" fillId="0" borderId="0" xfId="0" applyFont="1" applyAlignment="1">
      <alignment vertical="center"/>
    </xf>
    <xf numFmtId="0" fontId="90" fillId="0" borderId="0" xfId="0" applyFont="1" applyAlignment="1">
      <alignment vertical="center"/>
    </xf>
    <xf numFmtId="0" fontId="77" fillId="0" borderId="20" xfId="0" applyFont="1" applyBorder="1" applyAlignment="1">
      <alignment vertical="center"/>
    </xf>
    <xf numFmtId="0" fontId="91" fillId="0" borderId="0" xfId="0" applyFont="1" applyAlignment="1">
      <alignment vertical="center"/>
    </xf>
    <xf numFmtId="0" fontId="92" fillId="0" borderId="0" xfId="0" applyFont="1" applyAlignment="1">
      <alignment vertical="center"/>
    </xf>
    <xf numFmtId="0" fontId="93" fillId="33" borderId="20" xfId="0" applyFont="1" applyFill="1" applyBorder="1" applyAlignment="1" quotePrefix="1">
      <alignment horizontal="left" vertical="center"/>
    </xf>
    <xf numFmtId="0" fontId="0" fillId="33" borderId="13" xfId="0" applyFill="1" applyBorder="1" applyAlignment="1">
      <alignment/>
    </xf>
    <xf numFmtId="0" fontId="0" fillId="33" borderId="14" xfId="0" applyFill="1" applyBorder="1" applyAlignment="1">
      <alignment/>
    </xf>
    <xf numFmtId="0" fontId="93" fillId="33" borderId="20" xfId="0" applyFont="1" applyFill="1" applyBorder="1" applyAlignment="1">
      <alignment vertical="center"/>
    </xf>
    <xf numFmtId="0" fontId="81" fillId="0" borderId="0" xfId="0" applyFont="1" applyBorder="1" applyAlignment="1">
      <alignment vertical="center"/>
    </xf>
    <xf numFmtId="0" fontId="94" fillId="0" borderId="0" xfId="0" applyFont="1" applyBorder="1" applyAlignment="1" quotePrefix="1">
      <alignment horizontal="left" vertical="center"/>
    </xf>
    <xf numFmtId="0" fontId="80" fillId="0" borderId="11" xfId="0" applyFont="1" applyBorder="1" applyAlignment="1">
      <alignment horizontal="right" vertical="center"/>
    </xf>
    <xf numFmtId="0" fontId="85" fillId="0" borderId="11" xfId="0" applyFont="1" applyBorder="1" applyAlignment="1">
      <alignment vertical="center"/>
    </xf>
    <xf numFmtId="0" fontId="81" fillId="0" borderId="0" xfId="0" applyFont="1" applyBorder="1" applyAlignment="1">
      <alignment vertical="center" wrapText="1"/>
    </xf>
    <xf numFmtId="0" fontId="81" fillId="0" borderId="0" xfId="0" applyFont="1" applyBorder="1" applyAlignment="1">
      <alignment horizontal="centerContinuous" vertical="center"/>
    </xf>
    <xf numFmtId="0" fontId="81" fillId="0" borderId="0" xfId="0" applyFont="1" applyBorder="1" applyAlignment="1">
      <alignment horizontal="centerContinuous" vertical="center" wrapText="1"/>
    </xf>
    <xf numFmtId="0" fontId="0" fillId="0" borderId="12" xfId="0" applyBorder="1" applyAlignment="1">
      <alignment/>
    </xf>
    <xf numFmtId="0" fontId="81" fillId="0" borderId="11" xfId="0" applyFont="1" applyBorder="1" applyAlignment="1" quotePrefix="1">
      <alignment horizontal="center" vertical="center" wrapText="1"/>
    </xf>
    <xf numFmtId="167" fontId="76" fillId="34" borderId="11" xfId="42" applyNumberFormat="1" applyFont="1" applyFill="1" applyBorder="1" applyAlignment="1">
      <alignment vertical="center" wrapText="1"/>
    </xf>
    <xf numFmtId="0" fontId="0" fillId="0" borderId="0" xfId="0" applyBorder="1" applyAlignment="1">
      <alignment/>
    </xf>
    <xf numFmtId="0" fontId="77" fillId="34" borderId="16" xfId="0" applyFont="1" applyFill="1" applyBorder="1" applyAlignment="1">
      <alignment vertical="center" wrapText="1"/>
    </xf>
    <xf numFmtId="166" fontId="77" fillId="34" borderId="11" xfId="44" applyNumberFormat="1" applyFont="1" applyFill="1" applyBorder="1" applyAlignment="1">
      <alignment vertical="center" wrapText="1"/>
    </xf>
    <xf numFmtId="10" fontId="77" fillId="34" borderId="11" xfId="59" applyNumberFormat="1" applyFont="1" applyFill="1" applyBorder="1" applyAlignment="1">
      <alignment horizontal="right" vertical="center" wrapText="1"/>
    </xf>
    <xf numFmtId="0" fontId="77" fillId="0" borderId="17" xfId="0" applyFont="1" applyBorder="1" applyAlignment="1">
      <alignment vertical="center" wrapText="1"/>
    </xf>
    <xf numFmtId="0" fontId="95" fillId="0" borderId="0" xfId="0" applyFont="1" applyAlignment="1">
      <alignment horizontal="left" vertical="center" indent="1"/>
    </xf>
    <xf numFmtId="0" fontId="16" fillId="0" borderId="0" xfId="0" applyFont="1" applyAlignment="1" quotePrefix="1">
      <alignment horizontal="left" vertical="center" indent="1"/>
    </xf>
    <xf numFmtId="0" fontId="32" fillId="0" borderId="0" xfId="0" applyFont="1" applyAlignment="1" quotePrefix="1">
      <alignment horizontal="left" vertical="center"/>
    </xf>
    <xf numFmtId="0" fontId="85" fillId="33" borderId="14" xfId="0" applyFont="1" applyFill="1" applyBorder="1" applyAlignment="1">
      <alignment horizontal="center" vertical="center" wrapText="1"/>
    </xf>
    <xf numFmtId="0" fontId="85" fillId="33" borderId="18" xfId="0" applyFont="1" applyFill="1" applyBorder="1" applyAlignment="1">
      <alignment horizontal="center" vertical="center" wrapText="1"/>
    </xf>
    <xf numFmtId="0" fontId="93" fillId="33" borderId="20" xfId="0" applyFont="1" applyFill="1" applyBorder="1" applyAlignment="1" quotePrefix="1">
      <alignment horizontal="left"/>
    </xf>
    <xf numFmtId="0" fontId="93" fillId="33" borderId="13" xfId="0" applyFont="1" applyFill="1" applyBorder="1" applyAlignment="1" quotePrefix="1">
      <alignment horizontal="left"/>
    </xf>
    <xf numFmtId="0" fontId="86" fillId="33" borderId="13" xfId="0" applyFont="1" applyFill="1" applyBorder="1" applyAlignment="1">
      <alignment/>
    </xf>
    <xf numFmtId="0" fontId="86" fillId="33" borderId="14" xfId="0" applyFont="1" applyFill="1" applyBorder="1" applyAlignment="1">
      <alignment/>
    </xf>
    <xf numFmtId="0" fontId="0" fillId="0" borderId="0" xfId="0" applyFont="1" applyAlignment="1">
      <alignment/>
    </xf>
    <xf numFmtId="167" fontId="85" fillId="0" borderId="15" xfId="0" applyNumberFormat="1" applyFont="1" applyFill="1" applyBorder="1" applyAlignment="1">
      <alignment horizontal="center"/>
    </xf>
    <xf numFmtId="0" fontId="88" fillId="0" borderId="15" xfId="0" applyNumberFormat="1" applyFont="1" applyFill="1" applyBorder="1" applyAlignment="1">
      <alignment horizontal="center"/>
    </xf>
    <xf numFmtId="167" fontId="85" fillId="0" borderId="19" xfId="0" applyNumberFormat="1" applyFont="1" applyFill="1" applyBorder="1" applyAlignment="1">
      <alignment horizontal="center"/>
    </xf>
    <xf numFmtId="167" fontId="85" fillId="0" borderId="21" xfId="0" applyNumberFormat="1" applyFont="1" applyFill="1" applyBorder="1" applyAlignment="1">
      <alignment horizontal="center"/>
    </xf>
    <xf numFmtId="167" fontId="85" fillId="0" borderId="22" xfId="0" applyNumberFormat="1" applyFont="1" applyFill="1" applyBorder="1" applyAlignment="1">
      <alignment horizontal="center"/>
    </xf>
    <xf numFmtId="167" fontId="85" fillId="0" borderId="23" xfId="0" applyNumberFormat="1" applyFont="1" applyFill="1" applyBorder="1" applyAlignment="1">
      <alignment horizontal="center"/>
    </xf>
    <xf numFmtId="0" fontId="85" fillId="33" borderId="24" xfId="0" applyFont="1" applyFill="1" applyBorder="1" applyAlignment="1">
      <alignment horizontal="centerContinuous"/>
    </xf>
    <xf numFmtId="0" fontId="85" fillId="33" borderId="25" xfId="0" applyFont="1" applyFill="1" applyBorder="1" applyAlignment="1">
      <alignment horizontal="centerContinuous"/>
    </xf>
    <xf numFmtId="0" fontId="85" fillId="33" borderId="26" xfId="0" applyFont="1" applyFill="1" applyBorder="1" applyAlignment="1">
      <alignment horizontal="centerContinuous"/>
    </xf>
    <xf numFmtId="0" fontId="85" fillId="33" borderId="27" xfId="0" applyFont="1" applyFill="1" applyBorder="1" applyAlignment="1">
      <alignment horizontal="centerContinuous"/>
    </xf>
    <xf numFmtId="0" fontId="85" fillId="33" borderId="28" xfId="0" applyFont="1" applyFill="1" applyBorder="1" applyAlignment="1">
      <alignment horizontal="centerContinuous"/>
    </xf>
    <xf numFmtId="0" fontId="85" fillId="33" borderId="29" xfId="0" applyFont="1" applyFill="1" applyBorder="1" applyAlignment="1">
      <alignment horizontal="centerContinuous"/>
    </xf>
    <xf numFmtId="0" fontId="85" fillId="33" borderId="21" xfId="0" applyFont="1" applyFill="1" applyBorder="1" applyAlignment="1">
      <alignment horizontal="center"/>
    </xf>
    <xf numFmtId="0" fontId="85" fillId="33" borderId="30" xfId="0" applyFont="1" applyFill="1" applyBorder="1" applyAlignment="1">
      <alignment horizontal="center"/>
    </xf>
    <xf numFmtId="0" fontId="85" fillId="33" borderId="31" xfId="0" applyFont="1" applyFill="1" applyBorder="1" applyAlignment="1">
      <alignment horizontal="center"/>
    </xf>
    <xf numFmtId="0" fontId="85" fillId="33" borderId="16" xfId="0" applyFont="1" applyFill="1" applyBorder="1" applyAlignment="1">
      <alignment horizontal="center"/>
    </xf>
    <xf numFmtId="0" fontId="94" fillId="33" borderId="32" xfId="0" applyFont="1" applyFill="1" applyBorder="1" applyAlignment="1">
      <alignment horizontal="centerContinuous"/>
    </xf>
    <xf numFmtId="0" fontId="85" fillId="0" borderId="14" xfId="0" applyFont="1" applyBorder="1" applyAlignment="1">
      <alignment horizontal="center" vertical="center" wrapText="1"/>
    </xf>
    <xf numFmtId="44" fontId="77" fillId="34" borderId="16" xfId="44" applyFont="1" applyFill="1" applyBorder="1" applyAlignment="1">
      <alignment vertical="center" wrapText="1"/>
    </xf>
    <xf numFmtId="44" fontId="20" fillId="34" borderId="16" xfId="44" applyFont="1" applyFill="1" applyBorder="1" applyAlignment="1">
      <alignment vertical="center" wrapText="1"/>
    </xf>
    <xf numFmtId="0" fontId="77" fillId="34" borderId="11" xfId="0" applyFont="1" applyFill="1" applyBorder="1" applyAlignment="1">
      <alignment vertical="center" wrapText="1"/>
    </xf>
    <xf numFmtId="0" fontId="77" fillId="34" borderId="33" xfId="0" applyFont="1" applyFill="1" applyBorder="1" applyAlignment="1">
      <alignment vertical="center"/>
    </xf>
    <xf numFmtId="0" fontId="77" fillId="34" borderId="12" xfId="0" applyFont="1" applyFill="1" applyBorder="1" applyAlignment="1">
      <alignment vertical="center"/>
    </xf>
    <xf numFmtId="0" fontId="77" fillId="34" borderId="34" xfId="0" applyFont="1" applyFill="1" applyBorder="1" applyAlignment="1">
      <alignment vertical="center"/>
    </xf>
    <xf numFmtId="0" fontId="77" fillId="34" borderId="0" xfId="0" applyFont="1" applyFill="1" applyAlignment="1">
      <alignment vertical="center"/>
    </xf>
    <xf numFmtId="0" fontId="77" fillId="34" borderId="10" xfId="0" applyFont="1" applyFill="1" applyBorder="1" applyAlignment="1">
      <alignment vertical="center"/>
    </xf>
    <xf numFmtId="0" fontId="77" fillId="34" borderId="35" xfId="0" applyFont="1" applyFill="1" applyBorder="1" applyAlignment="1">
      <alignment vertical="center"/>
    </xf>
    <xf numFmtId="0" fontId="77" fillId="34" borderId="11" xfId="0" applyFont="1" applyFill="1" applyBorder="1" applyAlignment="1">
      <alignment vertical="center"/>
    </xf>
    <xf numFmtId="0" fontId="77" fillId="34" borderId="16" xfId="0" applyFont="1" applyFill="1" applyBorder="1" applyAlignment="1">
      <alignment vertical="center"/>
    </xf>
    <xf numFmtId="14" fontId="77" fillId="34" borderId="11" xfId="0" applyNumberFormat="1" applyFont="1" applyFill="1" applyBorder="1" applyAlignment="1">
      <alignment vertical="center" wrapText="1"/>
    </xf>
    <xf numFmtId="0" fontId="76" fillId="0" borderId="0" xfId="0" applyFont="1" applyAlignment="1" quotePrefix="1">
      <alignment horizontal="right" vertical="center" wrapText="1"/>
    </xf>
    <xf numFmtId="0" fontId="0" fillId="0" borderId="31" xfId="0" applyBorder="1" applyAlignment="1">
      <alignment horizontal="center" vertical="center" wrapText="1"/>
    </xf>
    <xf numFmtId="0" fontId="0" fillId="0" borderId="31" xfId="0" applyBorder="1" applyAlignment="1" quotePrefix="1">
      <alignment horizontal="center" vertical="center" wrapText="1"/>
    </xf>
    <xf numFmtId="0" fontId="0" fillId="0" borderId="36" xfId="0" applyBorder="1" applyAlignment="1" quotePrefix="1">
      <alignment horizontal="center" vertical="center" wrapText="1"/>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0" fillId="0" borderId="30" xfId="0" applyBorder="1" applyAlignment="1">
      <alignment horizontal="center" vertical="center" wrapText="1"/>
    </xf>
    <xf numFmtId="0" fontId="0" fillId="0" borderId="39" xfId="0" applyBorder="1" applyAlignment="1">
      <alignment vertical="center"/>
    </xf>
    <xf numFmtId="0" fontId="0" fillId="0" borderId="40" xfId="0" applyBorder="1" applyAlignment="1">
      <alignment vertical="center"/>
    </xf>
    <xf numFmtId="0" fontId="0" fillId="33" borderId="41" xfId="0" applyFill="1" applyBorder="1" applyAlignment="1">
      <alignment horizontal="center" vertical="center" wrapText="1"/>
    </xf>
    <xf numFmtId="0" fontId="0" fillId="33" borderId="24" xfId="0" applyFill="1" applyBorder="1" applyAlignment="1">
      <alignment horizontal="center" vertical="center" wrapText="1"/>
    </xf>
    <xf numFmtId="0" fontId="0" fillId="33" borderId="24" xfId="0" applyFill="1" applyBorder="1" applyAlignment="1" quotePrefix="1">
      <alignment horizontal="center" vertical="center" wrapText="1"/>
    </xf>
    <xf numFmtId="0" fontId="0" fillId="33" borderId="25" xfId="0" applyFill="1" applyBorder="1" applyAlignment="1" quotePrefix="1">
      <alignment horizontal="center" vertical="center" wrapText="1"/>
    </xf>
    <xf numFmtId="0" fontId="0" fillId="36" borderId="42" xfId="0" applyFill="1" applyBorder="1" applyAlignment="1">
      <alignment vertical="center"/>
    </xf>
    <xf numFmtId="0" fontId="0" fillId="36" borderId="43" xfId="0" applyFill="1" applyBorder="1" applyAlignment="1">
      <alignment horizontal="center" vertical="center" wrapText="1"/>
    </xf>
    <xf numFmtId="0" fontId="0" fillId="36" borderId="44" xfId="0" applyFill="1" applyBorder="1" applyAlignment="1">
      <alignment horizontal="center" vertical="center" wrapText="1"/>
    </xf>
    <xf numFmtId="0" fontId="0" fillId="36" borderId="45" xfId="0" applyFill="1" applyBorder="1" applyAlignment="1" quotePrefix="1">
      <alignment horizontal="center" vertical="center" wrapText="1"/>
    </xf>
    <xf numFmtId="0" fontId="87" fillId="0" borderId="0" xfId="0" applyFont="1" applyAlignment="1">
      <alignment vertical="center" wrapText="1"/>
    </xf>
    <xf numFmtId="0" fontId="96" fillId="33" borderId="18" xfId="0" applyFont="1" applyFill="1" applyBorder="1" applyAlignment="1">
      <alignment horizontal="center" vertical="center"/>
    </xf>
    <xf numFmtId="164" fontId="97" fillId="0" borderId="16" xfId="42" applyNumberFormat="1" applyFont="1" applyFill="1" applyBorder="1" applyAlignment="1">
      <alignment vertical="center" wrapText="1"/>
    </xf>
    <xf numFmtId="0" fontId="98" fillId="0" borderId="0" xfId="0" applyFont="1" applyAlignment="1">
      <alignment horizontal="center"/>
    </xf>
    <xf numFmtId="166" fontId="62" fillId="0" borderId="11" xfId="44" applyNumberFormat="1" applyFont="1" applyFill="1" applyBorder="1" applyAlignment="1">
      <alignment horizontal="center"/>
    </xf>
    <xf numFmtId="167" fontId="62" fillId="0" borderId="11" xfId="0" applyNumberFormat="1" applyFont="1" applyFill="1" applyBorder="1" applyAlignment="1">
      <alignment horizontal="center"/>
    </xf>
    <xf numFmtId="167" fontId="62" fillId="0" borderId="13" xfId="0" applyNumberFormat="1" applyFont="1" applyFill="1" applyBorder="1" applyAlignment="1">
      <alignment horizontal="center"/>
    </xf>
    <xf numFmtId="0" fontId="62" fillId="0" borderId="0" xfId="0" applyFont="1" applyFill="1" applyAlignment="1">
      <alignment horizontal="center"/>
    </xf>
    <xf numFmtId="0" fontId="62" fillId="0" borderId="11" xfId="0" applyFont="1" applyFill="1" applyBorder="1" applyAlignment="1">
      <alignment horizontal="center"/>
    </xf>
    <xf numFmtId="44" fontId="62" fillId="0" borderId="11" xfId="44" applyNumberFormat="1" applyFont="1" applyFill="1" applyBorder="1" applyAlignment="1">
      <alignment horizontal="center"/>
    </xf>
    <xf numFmtId="44" fontId="62" fillId="0" borderId="11" xfId="44" applyFont="1" applyFill="1" applyBorder="1" applyAlignment="1">
      <alignment horizontal="center"/>
    </xf>
    <xf numFmtId="0" fontId="80" fillId="0" borderId="0" xfId="0" applyFont="1" applyAlignment="1">
      <alignment/>
    </xf>
    <xf numFmtId="0" fontId="80" fillId="0" borderId="0" xfId="0" applyFont="1" applyAlignment="1">
      <alignment vertical="top" wrapText="1"/>
    </xf>
    <xf numFmtId="0" fontId="89" fillId="0" borderId="0" xfId="0" applyFont="1" applyAlignment="1">
      <alignment vertical="top" wrapText="1"/>
    </xf>
    <xf numFmtId="0" fontId="99" fillId="0" borderId="0" xfId="0" applyFont="1" applyAlignment="1">
      <alignment horizontal="center" vertical="center"/>
    </xf>
    <xf numFmtId="0" fontId="40" fillId="0" borderId="0" xfId="0" applyFont="1" applyAlignment="1">
      <alignment vertical="center"/>
    </xf>
    <xf numFmtId="0" fontId="76" fillId="33" borderId="13" xfId="0" applyFont="1" applyFill="1" applyBorder="1" applyAlignment="1">
      <alignment/>
    </xf>
    <xf numFmtId="0" fontId="76" fillId="33" borderId="14" xfId="0" applyFont="1" applyFill="1" applyBorder="1" applyAlignment="1">
      <alignment/>
    </xf>
    <xf numFmtId="0" fontId="16" fillId="0" borderId="0" xfId="0" applyFont="1" applyAlignment="1">
      <alignment horizontal="center"/>
    </xf>
    <xf numFmtId="165" fontId="76" fillId="34" borderId="13" xfId="0" applyNumberFormat="1" applyFont="1" applyFill="1" applyBorder="1" applyAlignment="1">
      <alignment horizontal="center"/>
    </xf>
    <xf numFmtId="0" fontId="95" fillId="0" borderId="0" xfId="0" applyFont="1" applyAlignment="1">
      <alignment vertical="center"/>
    </xf>
    <xf numFmtId="0" fontId="100" fillId="0" borderId="0" xfId="0" applyFont="1" applyAlignment="1">
      <alignment/>
    </xf>
    <xf numFmtId="0" fontId="16" fillId="0" borderId="0" xfId="0" applyFont="1" applyBorder="1" applyAlignment="1">
      <alignment/>
    </xf>
    <xf numFmtId="0" fontId="16" fillId="0" borderId="0" xfId="0" applyFont="1" applyBorder="1" applyAlignment="1" quotePrefix="1">
      <alignment horizontal="center" vertical="center"/>
    </xf>
    <xf numFmtId="165" fontId="82" fillId="33" borderId="11" xfId="59" applyNumberFormat="1" applyFont="1" applyFill="1" applyBorder="1" applyAlignment="1">
      <alignment vertical="center" wrapText="1"/>
    </xf>
    <xf numFmtId="0" fontId="94" fillId="0" borderId="0" xfId="0" applyFont="1" applyAlignment="1" quotePrefix="1">
      <alignment horizontal="left" vertical="center"/>
    </xf>
    <xf numFmtId="0" fontId="94" fillId="0" borderId="17" xfId="0" applyFont="1" applyBorder="1" applyAlignment="1">
      <alignment vertical="center" wrapText="1"/>
    </xf>
    <xf numFmtId="0" fontId="94" fillId="0" borderId="18" xfId="0" applyFont="1" applyBorder="1" applyAlignment="1">
      <alignment wrapText="1"/>
    </xf>
    <xf numFmtId="0" fontId="89" fillId="0" borderId="0" xfId="0" applyFont="1" applyAlignment="1">
      <alignment vertical="top"/>
    </xf>
    <xf numFmtId="0" fontId="76" fillId="0" borderId="0" xfId="0" applyFont="1" applyAlignment="1">
      <alignment vertical="top"/>
    </xf>
    <xf numFmtId="0" fontId="85" fillId="0" borderId="0" xfId="0" applyFont="1" applyAlignment="1" quotePrefix="1">
      <alignment horizontal="left" vertical="center"/>
    </xf>
    <xf numFmtId="0" fontId="16" fillId="0" borderId="0" xfId="0" applyFont="1" applyAlignment="1" quotePrefix="1">
      <alignment horizontal="left" vertical="center"/>
    </xf>
    <xf numFmtId="44" fontId="16" fillId="33" borderId="0" xfId="0" applyNumberFormat="1" applyFont="1" applyFill="1" applyBorder="1" applyAlignment="1">
      <alignment vertical="center"/>
    </xf>
    <xf numFmtId="166" fontId="76" fillId="33" borderId="0" xfId="44" applyNumberFormat="1" applyFont="1" applyFill="1" applyBorder="1" applyAlignment="1">
      <alignment/>
    </xf>
    <xf numFmtId="166" fontId="95" fillId="33" borderId="11" xfId="44" applyNumberFormat="1" applyFont="1" applyFill="1" applyBorder="1" applyAlignment="1">
      <alignment vertical="center"/>
    </xf>
    <xf numFmtId="166" fontId="76" fillId="33" borderId="46" xfId="44" applyNumberFormat="1" applyFont="1" applyFill="1" applyBorder="1" applyAlignment="1">
      <alignment/>
    </xf>
    <xf numFmtId="166" fontId="95" fillId="33" borderId="0" xfId="44" applyNumberFormat="1" applyFont="1" applyFill="1" applyBorder="1" applyAlignment="1">
      <alignment vertical="center"/>
    </xf>
    <xf numFmtId="166" fontId="95" fillId="33" borderId="46" xfId="44" applyNumberFormat="1" applyFont="1" applyFill="1" applyBorder="1" applyAlignment="1">
      <alignment vertical="center"/>
    </xf>
    <xf numFmtId="166" fontId="76" fillId="33" borderId="47" xfId="0" applyNumberFormat="1" applyFont="1" applyFill="1" applyBorder="1" applyAlignment="1">
      <alignment/>
    </xf>
    <xf numFmtId="0" fontId="76" fillId="0" borderId="10" xfId="0" applyFont="1" applyBorder="1" applyAlignment="1" quotePrefix="1">
      <alignment horizontal="left" vertical="center" wrapText="1" indent="2"/>
    </xf>
    <xf numFmtId="0" fontId="76" fillId="34" borderId="10" xfId="0" applyFont="1" applyFill="1" applyBorder="1" applyAlignment="1">
      <alignment horizontal="left" vertical="center" wrapText="1" indent="2"/>
    </xf>
    <xf numFmtId="0" fontId="94" fillId="0" borderId="0" xfId="0" applyFont="1" applyAlignment="1">
      <alignment/>
    </xf>
    <xf numFmtId="0" fontId="92" fillId="0" borderId="20" xfId="0" applyFont="1" applyBorder="1" applyAlignment="1" quotePrefix="1">
      <alignment horizontal="left" vertical="center"/>
    </xf>
    <xf numFmtId="0" fontId="80" fillId="0" borderId="0" xfId="0" applyFont="1" applyAlignment="1">
      <alignment vertical="top" wrapText="1"/>
    </xf>
    <xf numFmtId="0" fontId="89" fillId="0" borderId="0" xfId="0" applyFont="1" applyAlignment="1">
      <alignment vertical="top" wrapText="1"/>
    </xf>
    <xf numFmtId="0" fontId="0" fillId="0" borderId="48" xfId="0" applyBorder="1" applyAlignment="1" quotePrefix="1">
      <alignment horizontal="center" vertical="center" wrapText="1"/>
    </xf>
    <xf numFmtId="0" fontId="0" fillId="0" borderId="0" xfId="0" applyFill="1" applyBorder="1" applyAlignment="1">
      <alignment horizontal="center" vertical="center" wrapText="1"/>
    </xf>
    <xf numFmtId="0" fontId="0" fillId="0" borderId="0" xfId="0" applyAlignment="1" quotePrefix="1">
      <alignment horizontal="left"/>
    </xf>
    <xf numFmtId="0" fontId="77" fillId="34" borderId="49" xfId="0" applyFont="1" applyFill="1" applyBorder="1" applyAlignment="1" quotePrefix="1">
      <alignment horizontal="left" vertical="center"/>
    </xf>
    <xf numFmtId="0" fontId="76" fillId="0" borderId="0" xfId="0" applyFont="1" applyAlignment="1" quotePrefix="1">
      <alignment horizontal="right"/>
    </xf>
    <xf numFmtId="164" fontId="76" fillId="37" borderId="15" xfId="42" applyNumberFormat="1" applyFont="1" applyFill="1" applyBorder="1" applyAlignment="1">
      <alignment/>
    </xf>
    <xf numFmtId="164" fontId="76" fillId="37" borderId="0" xfId="42" applyNumberFormat="1" applyFont="1" applyFill="1" applyAlignment="1">
      <alignment/>
    </xf>
    <xf numFmtId="164" fontId="76" fillId="37" borderId="19" xfId="42" applyNumberFormat="1" applyFont="1" applyFill="1" applyBorder="1" applyAlignment="1">
      <alignment/>
    </xf>
    <xf numFmtId="44" fontId="76" fillId="37" borderId="19" xfId="44" applyFont="1" applyFill="1" applyBorder="1" applyAlignment="1">
      <alignment/>
    </xf>
    <xf numFmtId="44" fontId="76" fillId="37" borderId="15" xfId="44" applyFont="1" applyFill="1" applyBorder="1" applyAlignment="1">
      <alignment/>
    </xf>
    <xf numFmtId="0" fontId="76" fillId="37" borderId="44" xfId="0" applyFont="1" applyFill="1" applyBorder="1" applyAlignment="1">
      <alignment/>
    </xf>
    <xf numFmtId="0" fontId="76" fillId="33" borderId="44" xfId="0" applyFont="1" applyFill="1" applyBorder="1" applyAlignment="1">
      <alignment/>
    </xf>
    <xf numFmtId="0" fontId="76" fillId="35" borderId="44" xfId="0" applyFont="1" applyFill="1" applyBorder="1" applyAlignment="1">
      <alignment/>
    </xf>
    <xf numFmtId="167" fontId="43" fillId="33" borderId="13" xfId="0" applyNumberFormat="1" applyFont="1" applyFill="1" applyBorder="1" applyAlignment="1">
      <alignment horizontal="center"/>
    </xf>
    <xf numFmtId="0" fontId="98" fillId="36" borderId="43" xfId="0" applyFont="1" applyFill="1" applyBorder="1" applyAlignment="1">
      <alignment horizontal="center" vertical="center" wrapText="1"/>
    </xf>
    <xf numFmtId="0" fontId="98" fillId="36" borderId="44" xfId="0" applyFont="1" applyFill="1" applyBorder="1" applyAlignment="1">
      <alignment horizontal="center" vertical="center" wrapText="1"/>
    </xf>
    <xf numFmtId="0" fontId="98" fillId="36" borderId="45" xfId="0" applyFont="1" applyFill="1" applyBorder="1" applyAlignment="1">
      <alignment horizontal="center" vertical="center" wrapText="1"/>
    </xf>
    <xf numFmtId="0" fontId="98" fillId="0" borderId="43" xfId="0" applyFont="1" applyBorder="1" applyAlignment="1">
      <alignment horizontal="center" vertical="center" wrapText="1"/>
    </xf>
    <xf numFmtId="0" fontId="98" fillId="0" borderId="44" xfId="0" applyFont="1" applyBorder="1" applyAlignment="1">
      <alignment horizontal="center" vertical="center" wrapText="1"/>
    </xf>
    <xf numFmtId="0" fontId="98" fillId="0" borderId="45" xfId="0" applyFont="1" applyBorder="1" applyAlignment="1">
      <alignment horizontal="center" vertical="center" wrapText="1"/>
    </xf>
    <xf numFmtId="0" fontId="98" fillId="36" borderId="42" xfId="0" applyFont="1" applyFill="1" applyBorder="1" applyAlignment="1">
      <alignment vertical="center"/>
    </xf>
    <xf numFmtId="0" fontId="98" fillId="0" borderId="42" xfId="0" applyFont="1" applyBorder="1" applyAlignment="1" quotePrefix="1">
      <alignment horizontal="left" vertical="center"/>
    </xf>
    <xf numFmtId="0" fontId="77" fillId="33" borderId="11" xfId="0" applyFont="1" applyFill="1" applyBorder="1" applyAlignment="1">
      <alignment vertical="center" wrapText="1"/>
    </xf>
    <xf numFmtId="165" fontId="77" fillId="33" borderId="11" xfId="59" applyNumberFormat="1" applyFont="1" applyFill="1" applyBorder="1" applyAlignment="1">
      <alignment vertical="center" wrapText="1"/>
    </xf>
    <xf numFmtId="0" fontId="82" fillId="0" borderId="50" xfId="0" applyFont="1" applyBorder="1" applyAlignment="1" quotePrefix="1">
      <alignment horizontal="left" vertical="center" wrapText="1" indent="1"/>
    </xf>
    <xf numFmtId="0" fontId="82" fillId="0" borderId="51" xfId="0" applyFont="1" applyBorder="1" applyAlignment="1" quotePrefix="1">
      <alignment horizontal="left" vertical="center" wrapText="1" indent="1"/>
    </xf>
    <xf numFmtId="0" fontId="82" fillId="0" borderId="51" xfId="0" applyFont="1" applyBorder="1" applyAlignment="1">
      <alignment horizontal="left" vertical="center" wrapText="1" indent="1"/>
    </xf>
    <xf numFmtId="0" fontId="82" fillId="0" borderId="50" xfId="0" applyFont="1" applyBorder="1" applyAlignment="1">
      <alignment vertical="center" wrapText="1"/>
    </xf>
    <xf numFmtId="0" fontId="82" fillId="0" borderId="51" xfId="0" applyFont="1" applyBorder="1" applyAlignment="1">
      <alignment vertical="center" wrapText="1"/>
    </xf>
    <xf numFmtId="0" fontId="82" fillId="0" borderId="51" xfId="0" applyFont="1" applyBorder="1" applyAlignment="1" quotePrefix="1">
      <alignment horizontal="left" vertical="center" wrapText="1"/>
    </xf>
    <xf numFmtId="0" fontId="82" fillId="0" borderId="50" xfId="0" applyFont="1" applyBorder="1" applyAlignment="1" quotePrefix="1">
      <alignment horizontal="left" vertical="center" wrapText="1"/>
    </xf>
    <xf numFmtId="44" fontId="77" fillId="0" borderId="16" xfId="44" applyFont="1" applyFill="1" applyBorder="1" applyAlignment="1">
      <alignment vertical="center" wrapText="1"/>
    </xf>
    <xf numFmtId="165" fontId="76" fillId="33" borderId="11" xfId="0" applyNumberFormat="1" applyFont="1" applyFill="1" applyBorder="1" applyAlignment="1">
      <alignment horizontal="center"/>
    </xf>
    <xf numFmtId="0" fontId="92" fillId="0" borderId="0" xfId="0" applyFont="1" applyAlignment="1">
      <alignment/>
    </xf>
    <xf numFmtId="0" fontId="95" fillId="0" borderId="0" xfId="0" applyFont="1" applyAlignment="1" quotePrefix="1">
      <alignment horizontal="left" vertical="center" wrapText="1"/>
    </xf>
    <xf numFmtId="0" fontId="76" fillId="0" borderId="0" xfId="0" applyFont="1" applyAlignment="1">
      <alignment/>
    </xf>
    <xf numFmtId="0" fontId="101" fillId="0" borderId="0" xfId="0" applyFont="1" applyAlignment="1" quotePrefix="1">
      <alignment horizontal="left" vertical="center" wrapText="1"/>
    </xf>
    <xf numFmtId="0" fontId="87" fillId="0" borderId="0" xfId="0" applyFont="1" applyAlignment="1">
      <alignment/>
    </xf>
    <xf numFmtId="0" fontId="102" fillId="33" borderId="20" xfId="0" applyFont="1" applyFill="1" applyBorder="1" applyAlignment="1" quotePrefix="1">
      <alignment horizontal="left" vertical="center" wrapText="1"/>
    </xf>
    <xf numFmtId="0" fontId="103" fillId="33" borderId="13" xfId="0" applyFont="1" applyFill="1" applyBorder="1" applyAlignment="1">
      <alignment vertical="center" wrapText="1"/>
    </xf>
    <xf numFmtId="0" fontId="104" fillId="0" borderId="0" xfId="0" applyFont="1" applyAlignment="1" quotePrefix="1">
      <alignment horizontal="left" vertical="center" wrapText="1"/>
    </xf>
    <xf numFmtId="0" fontId="85" fillId="0" borderId="0" xfId="0" applyFont="1" applyAlignment="1">
      <alignment/>
    </xf>
    <xf numFmtId="0" fontId="95" fillId="0" borderId="0" xfId="0" applyFont="1" applyAlignment="1" quotePrefix="1">
      <alignment horizontal="left" vertical="center" wrapText="1" indent="1"/>
    </xf>
    <xf numFmtId="0" fontId="76" fillId="0" borderId="0" xfId="0" applyFont="1" applyAlignment="1">
      <alignment horizontal="left" indent="1"/>
    </xf>
    <xf numFmtId="0" fontId="105" fillId="34" borderId="11" xfId="0" applyFont="1" applyFill="1" applyBorder="1" applyAlignment="1">
      <alignment/>
    </xf>
    <xf numFmtId="0" fontId="106" fillId="34" borderId="11" xfId="52" applyFont="1" applyFill="1" applyBorder="1" applyAlignment="1">
      <alignment/>
    </xf>
    <xf numFmtId="0" fontId="93" fillId="33" borderId="20" xfId="0" applyFont="1" applyFill="1"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77" fillId="34" borderId="20" xfId="0" applyFont="1" applyFill="1" applyBorder="1" applyAlignment="1">
      <alignment vertical="center" wrapText="1"/>
    </xf>
    <xf numFmtId="0" fontId="77" fillId="34" borderId="13" xfId="0" applyFont="1" applyFill="1" applyBorder="1" applyAlignment="1">
      <alignment vertical="center" wrapText="1"/>
    </xf>
    <xf numFmtId="0" fontId="77" fillId="34" borderId="14" xfId="0" applyFont="1" applyFill="1" applyBorder="1" applyAlignment="1">
      <alignment vertical="center" wrapText="1"/>
    </xf>
    <xf numFmtId="0" fontId="77" fillId="34" borderId="20" xfId="0" applyFont="1" applyFill="1"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94" fillId="0" borderId="20" xfId="0" applyFont="1" applyBorder="1" applyAlignment="1">
      <alignment horizontal="center" vertical="center" wrapText="1"/>
    </xf>
    <xf numFmtId="0" fontId="94" fillId="0" borderId="13" xfId="0" applyFont="1" applyBorder="1" applyAlignment="1">
      <alignment horizontal="center" vertical="center" wrapText="1"/>
    </xf>
    <xf numFmtId="0" fontId="94" fillId="0" borderId="14" xfId="0" applyFont="1" applyBorder="1" applyAlignment="1">
      <alignment horizontal="center" vertical="center" wrapText="1"/>
    </xf>
    <xf numFmtId="0" fontId="77" fillId="34" borderId="33" xfId="0" applyFont="1" applyFill="1" applyBorder="1" applyAlignment="1">
      <alignment vertical="top" wrapText="1"/>
    </xf>
    <xf numFmtId="0" fontId="77" fillId="34" borderId="12" xfId="0" applyFont="1" applyFill="1" applyBorder="1" applyAlignment="1">
      <alignment vertical="top" wrapText="1"/>
    </xf>
    <xf numFmtId="0" fontId="77" fillId="34" borderId="34" xfId="0" applyFont="1" applyFill="1" applyBorder="1" applyAlignment="1">
      <alignment vertical="top" wrapText="1"/>
    </xf>
    <xf numFmtId="0" fontId="0" fillId="0" borderId="49" xfId="0" applyBorder="1" applyAlignment="1">
      <alignment vertical="top" wrapText="1"/>
    </xf>
    <xf numFmtId="0" fontId="0" fillId="0" borderId="0" xfId="0" applyAlignment="1">
      <alignment vertical="top" wrapText="1"/>
    </xf>
    <xf numFmtId="0" fontId="0" fillId="0" borderId="10" xfId="0" applyBorder="1" applyAlignment="1">
      <alignment vertical="top" wrapText="1"/>
    </xf>
    <xf numFmtId="0" fontId="0" fillId="0" borderId="35" xfId="0" applyBorder="1" applyAlignment="1">
      <alignment vertical="top" wrapText="1"/>
    </xf>
    <xf numFmtId="0" fontId="0" fillId="0" borderId="11" xfId="0" applyBorder="1" applyAlignment="1">
      <alignment vertical="top" wrapText="1"/>
    </xf>
    <xf numFmtId="0" fontId="0" fillId="0" borderId="16" xfId="0" applyBorder="1" applyAlignment="1">
      <alignment vertical="top" wrapText="1"/>
    </xf>
    <xf numFmtId="0" fontId="77" fillId="0" borderId="0" xfId="0" applyFont="1" applyBorder="1" applyAlignment="1">
      <alignment vertical="center" wrapText="1"/>
    </xf>
    <xf numFmtId="0" fontId="0" fillId="0" borderId="10" xfId="0" applyBorder="1" applyAlignment="1">
      <alignment/>
    </xf>
    <xf numFmtId="0" fontId="85" fillId="0" borderId="20" xfId="0" applyFont="1" applyBorder="1" applyAlignment="1">
      <alignment horizontal="center" vertical="center" wrapText="1"/>
    </xf>
    <xf numFmtId="0" fontId="74" fillId="0" borderId="13" xfId="0" applyFont="1" applyBorder="1" applyAlignment="1">
      <alignment horizontal="center" vertical="center" wrapText="1"/>
    </xf>
    <xf numFmtId="0" fontId="74" fillId="0" borderId="14" xfId="0" applyFont="1" applyBorder="1" applyAlignment="1">
      <alignment horizontal="center" vertical="center" wrapText="1"/>
    </xf>
    <xf numFmtId="0" fontId="90" fillId="0" borderId="0" xfId="0" applyFont="1" applyBorder="1" applyAlignment="1">
      <alignment vertical="center" wrapText="1"/>
    </xf>
    <xf numFmtId="0" fontId="107" fillId="0" borderId="10" xfId="0" applyFont="1" applyBorder="1" applyAlignment="1">
      <alignment/>
    </xf>
    <xf numFmtId="0" fontId="80" fillId="0" borderId="0" xfId="0" applyFont="1" applyAlignment="1">
      <alignment vertical="top" wrapText="1"/>
    </xf>
    <xf numFmtId="0" fontId="89" fillId="0" borderId="0" xfId="0" applyFont="1" applyAlignment="1">
      <alignment vertical="top" wrapText="1"/>
    </xf>
    <xf numFmtId="0" fontId="80" fillId="0" borderId="0" xfId="0" applyFont="1" applyAlignment="1" quotePrefix="1">
      <alignment horizontal="left" vertical="top" wrapText="1"/>
    </xf>
    <xf numFmtId="0" fontId="85" fillId="0" borderId="18" xfId="0" applyFont="1" applyBorder="1" applyAlignment="1">
      <alignment horizontal="center" vertical="center" wrapText="1"/>
    </xf>
    <xf numFmtId="0" fontId="0" fillId="0" borderId="18" xfId="0" applyBorder="1" applyAlignment="1">
      <alignment/>
    </xf>
    <xf numFmtId="0" fontId="90" fillId="0" borderId="20" xfId="0" applyFont="1" applyBorder="1" applyAlignment="1" quotePrefix="1">
      <alignment horizontal="left" vertical="top" wrapText="1"/>
    </xf>
    <xf numFmtId="0" fontId="108" fillId="0" borderId="13" xfId="0" applyFont="1" applyBorder="1" applyAlignment="1">
      <alignment vertical="top" wrapText="1"/>
    </xf>
    <xf numFmtId="0" fontId="108" fillId="0" borderId="14" xfId="0" applyFont="1" applyBorder="1" applyAlignment="1">
      <alignment vertical="top" wrapText="1"/>
    </xf>
    <xf numFmtId="0" fontId="109" fillId="0" borderId="0" xfId="0" applyFont="1" applyAlignment="1">
      <alignment horizontal="left" vertical="center" wrapText="1"/>
    </xf>
    <xf numFmtId="0" fontId="110" fillId="0" borderId="0" xfId="0" applyFont="1" applyAlignment="1">
      <alignment vertical="center" wrapText="1"/>
    </xf>
    <xf numFmtId="0" fontId="59" fillId="0" borderId="0" xfId="0" applyFont="1" applyFill="1" applyBorder="1" applyAlignment="1">
      <alignment vertical="top" wrapText="1"/>
    </xf>
    <xf numFmtId="0" fontId="80" fillId="0" borderId="0" xfId="0" applyFont="1" applyAlignment="1">
      <alignment vertical="center" wrapText="1"/>
    </xf>
    <xf numFmtId="0" fontId="89" fillId="0" borderId="0" xfId="0" applyFont="1" applyAlignment="1">
      <alignment wrapText="1"/>
    </xf>
    <xf numFmtId="0" fontId="94" fillId="0" borderId="0" xfId="0" applyFont="1" applyAlignment="1">
      <alignment horizontal="left" vertical="center"/>
    </xf>
    <xf numFmtId="0" fontId="111" fillId="0" borderId="0" xfId="0" applyFont="1" applyAlignment="1">
      <alignment horizontal="lef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2">
    <dxf>
      <font>
        <color theme="0"/>
      </font>
      <fill>
        <patternFill>
          <bgColor theme="0"/>
        </patternFill>
      </fill>
    </dxf>
    <dxf>
      <font>
        <color theme="1"/>
      </font>
      <fill>
        <patternFill>
          <bgColor rgb="FFFFFF00"/>
        </patternFill>
      </fill>
      <border>
        <left style="thin"/>
        <right style="thin"/>
        <top style="thin"/>
        <bottom style="thin"/>
      </border>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border/>
    </dxf>
    <dxf>
      <font>
        <color theme="1"/>
      </font>
      <fill>
        <patternFill>
          <bgColor rgb="FFFFFF00"/>
        </patternFill>
      </fill>
      <border>
        <left style="thin">
          <color rgb="FF000000"/>
        </left>
        <right style="thin">
          <color rgb="FF000000"/>
        </right>
        <top style="thin"/>
        <bottom style="thin">
          <color rgb="FF000000"/>
        </bottom>
      </border>
    </dxf>
    <dxf>
      <font>
        <color theme="0"/>
      </font>
      <fill>
        <patternFill>
          <bgColor theme="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152400</xdr:colOff>
      <xdr:row>0</xdr:row>
      <xdr:rowOff>47625</xdr:rowOff>
    </xdr:from>
    <xdr:to>
      <xdr:col>4</xdr:col>
      <xdr:colOff>180975</xdr:colOff>
      <xdr:row>0</xdr:row>
      <xdr:rowOff>1019175</xdr:rowOff>
    </xdr:to>
    <xdr:pic>
      <xdr:nvPicPr>
        <xdr:cNvPr id="1" name="Picture 2" descr="dhscolorlogoweb285x250text"/>
        <xdr:cNvPicPr preferRelativeResize="1">
          <a:picLocks noChangeAspect="1"/>
        </xdr:cNvPicPr>
      </xdr:nvPicPr>
      <xdr:blipFill>
        <a:blip r:embed="rId1"/>
        <a:stretch>
          <a:fillRect/>
        </a:stretch>
      </xdr:blipFill>
      <xdr:spPr>
        <a:xfrm>
          <a:off x="5419725" y="47625"/>
          <a:ext cx="942975" cy="971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jjones@abcnh.com"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G33"/>
  <sheetViews>
    <sheetView tabSelected="1" zoomScale="75" zoomScaleNormal="75" zoomScalePageLayoutView="0" workbookViewId="0" topLeftCell="A1">
      <selection activeCell="A2" sqref="A2"/>
    </sheetView>
  </sheetViews>
  <sheetFormatPr defaultColWidth="9.140625" defaultRowHeight="15"/>
  <cols>
    <col min="1" max="1" width="51.57421875" style="0" customWidth="1"/>
    <col min="2" max="5" width="13.7109375" style="0" customWidth="1"/>
    <col min="6" max="8" width="12.7109375" style="0" customWidth="1"/>
  </cols>
  <sheetData>
    <row r="1" spans="1:5" ht="86.25" customHeight="1" thickBot="1">
      <c r="A1" s="274" t="s">
        <v>236</v>
      </c>
      <c r="B1" s="275"/>
      <c r="C1" s="275"/>
      <c r="D1" s="116"/>
      <c r="E1" s="117"/>
    </row>
    <row r="2" spans="1:2" ht="21">
      <c r="A2" s="22" t="s">
        <v>304</v>
      </c>
      <c r="B2" s="269" t="s">
        <v>305</v>
      </c>
    </row>
    <row r="3" ht="19.5" customHeight="1">
      <c r="A3" s="191" t="s">
        <v>0</v>
      </c>
    </row>
    <row r="4" spans="1:5" ht="39.75" customHeight="1">
      <c r="A4" s="270" t="s">
        <v>229</v>
      </c>
      <c r="B4" s="271"/>
      <c r="C4" s="271"/>
      <c r="D4" s="271"/>
      <c r="E4" s="271"/>
    </row>
    <row r="5" spans="1:5" ht="19.5" customHeight="1">
      <c r="A5" s="270" t="s">
        <v>230</v>
      </c>
      <c r="B5" s="271"/>
      <c r="C5" s="271"/>
      <c r="D5" s="271"/>
      <c r="E5" s="271"/>
    </row>
    <row r="6" spans="1:5" ht="39.75" customHeight="1">
      <c r="A6" s="278" t="s">
        <v>231</v>
      </c>
      <c r="B6" s="279"/>
      <c r="C6" s="279"/>
      <c r="D6" s="279"/>
      <c r="E6" s="279"/>
    </row>
    <row r="7" spans="1:5" ht="19.5" customHeight="1">
      <c r="A7" s="278" t="s">
        <v>232</v>
      </c>
      <c r="B7" s="279"/>
      <c r="C7" s="279"/>
      <c r="D7" s="279"/>
      <c r="E7" s="279"/>
    </row>
    <row r="8" spans="1:5" ht="39.75" customHeight="1">
      <c r="A8" s="270" t="s">
        <v>233</v>
      </c>
      <c r="B8" s="271"/>
      <c r="C8" s="271"/>
      <c r="D8" s="271"/>
      <c r="E8" s="271"/>
    </row>
    <row r="9" spans="1:5" ht="60" customHeight="1">
      <c r="A9" s="270" t="s">
        <v>234</v>
      </c>
      <c r="B9" s="271"/>
      <c r="C9" s="271"/>
      <c r="D9" s="271"/>
      <c r="E9" s="271"/>
    </row>
    <row r="10" spans="1:5" ht="19.5" customHeight="1">
      <c r="A10" s="270" t="s">
        <v>303</v>
      </c>
      <c r="B10" s="271"/>
      <c r="C10" s="271"/>
      <c r="D10" s="271"/>
      <c r="E10" s="271"/>
    </row>
    <row r="11" spans="1:5" ht="19.5" customHeight="1">
      <c r="A11" s="270" t="s">
        <v>235</v>
      </c>
      <c r="B11" s="271"/>
      <c r="C11" s="271"/>
      <c r="D11" s="271"/>
      <c r="E11" s="271"/>
    </row>
    <row r="12" spans="1:5" ht="19.5" customHeight="1">
      <c r="A12" s="270"/>
      <c r="B12" s="271"/>
      <c r="C12" s="271"/>
      <c r="D12" s="271"/>
      <c r="E12" s="271"/>
    </row>
    <row r="13" spans="1:5" ht="19.5" customHeight="1">
      <c r="A13" s="272" t="s">
        <v>1</v>
      </c>
      <c r="B13" s="273"/>
      <c r="C13" s="273"/>
      <c r="D13" s="273"/>
      <c r="E13" s="273"/>
    </row>
    <row r="14" spans="1:5" ht="19.5" customHeight="1">
      <c r="A14" s="270" t="s">
        <v>207</v>
      </c>
      <c r="B14" s="271"/>
      <c r="C14" s="271"/>
      <c r="D14" s="271"/>
      <c r="E14" s="271"/>
    </row>
    <row r="15" spans="1:5" ht="39.75" customHeight="1">
      <c r="A15" s="270" t="s">
        <v>274</v>
      </c>
      <c r="B15" s="271"/>
      <c r="C15" s="271"/>
      <c r="D15" s="271"/>
      <c r="E15" s="271"/>
    </row>
    <row r="16" spans="1:5" ht="39.75" customHeight="1">
      <c r="A16" s="270" t="s">
        <v>208</v>
      </c>
      <c r="B16" s="271"/>
      <c r="C16" s="271"/>
      <c r="D16" s="271"/>
      <c r="E16" s="271"/>
    </row>
    <row r="17" spans="1:5" ht="19.5" customHeight="1">
      <c r="A17" s="270"/>
      <c r="B17" s="271"/>
      <c r="C17" s="271"/>
      <c r="D17" s="271"/>
      <c r="E17" s="271"/>
    </row>
    <row r="18" spans="1:5" ht="19.5" customHeight="1">
      <c r="A18" s="272" t="s">
        <v>2</v>
      </c>
      <c r="B18" s="273"/>
      <c r="C18" s="273"/>
      <c r="D18" s="273"/>
      <c r="E18" s="273"/>
    </row>
    <row r="19" spans="1:5" ht="60" customHeight="1">
      <c r="A19" s="270" t="s">
        <v>209</v>
      </c>
      <c r="B19" s="271"/>
      <c r="C19" s="271"/>
      <c r="D19" s="271"/>
      <c r="E19" s="271"/>
    </row>
    <row r="20" spans="1:5" ht="39.75" customHeight="1">
      <c r="A20" s="270" t="s">
        <v>210</v>
      </c>
      <c r="B20" s="271"/>
      <c r="C20" s="271"/>
      <c r="D20" s="271"/>
      <c r="E20" s="271"/>
    </row>
    <row r="21" spans="1:5" ht="60" customHeight="1">
      <c r="A21" s="276" t="s">
        <v>275</v>
      </c>
      <c r="B21" s="277"/>
      <c r="C21" s="277"/>
      <c r="D21" s="277"/>
      <c r="E21" s="277"/>
    </row>
    <row r="22" spans="1:5" ht="14.25">
      <c r="A22" s="270"/>
      <c r="B22" s="271"/>
      <c r="C22" s="271"/>
      <c r="D22" s="271"/>
      <c r="E22" s="271"/>
    </row>
    <row r="23" spans="1:5" ht="15">
      <c r="A23" s="272" t="s">
        <v>3</v>
      </c>
      <c r="B23" s="273"/>
      <c r="C23" s="273"/>
      <c r="D23" s="273"/>
      <c r="E23" s="273"/>
    </row>
    <row r="24" ht="15" thickBot="1"/>
    <row r="25" spans="1:5" ht="57.75" thickBot="1">
      <c r="A25" s="192" t="s">
        <v>227</v>
      </c>
      <c r="B25" s="183" t="s">
        <v>216</v>
      </c>
      <c r="C25" s="184" t="s">
        <v>217</v>
      </c>
      <c r="D25" s="185" t="s">
        <v>218</v>
      </c>
      <c r="E25" s="186" t="s">
        <v>219</v>
      </c>
    </row>
    <row r="26" spans="1:7" ht="60.75" customHeight="1">
      <c r="A26" s="181" t="s">
        <v>211</v>
      </c>
      <c r="B26" s="236" t="s">
        <v>276</v>
      </c>
      <c r="C26" s="178" t="s">
        <v>220</v>
      </c>
      <c r="D26" s="178" t="s">
        <v>220</v>
      </c>
      <c r="E26" s="179" t="s">
        <v>220</v>
      </c>
      <c r="F26" s="237"/>
      <c r="G26" s="237"/>
    </row>
    <row r="27" spans="1:5" ht="19.5" customHeight="1">
      <c r="A27" s="256" t="s">
        <v>212</v>
      </c>
      <c r="B27" s="250" t="s">
        <v>220</v>
      </c>
      <c r="C27" s="251" t="s">
        <v>220</v>
      </c>
      <c r="D27" s="251" t="s">
        <v>220</v>
      </c>
      <c r="E27" s="252" t="s">
        <v>220</v>
      </c>
    </row>
    <row r="28" spans="1:5" ht="19.5" customHeight="1">
      <c r="A28" s="257" t="s">
        <v>213</v>
      </c>
      <c r="B28" s="253" t="s">
        <v>220</v>
      </c>
      <c r="C28" s="254" t="s">
        <v>220</v>
      </c>
      <c r="D28" s="254" t="s">
        <v>220</v>
      </c>
      <c r="E28" s="255" t="s">
        <v>220</v>
      </c>
    </row>
    <row r="29" spans="1:5" ht="39.75" customHeight="1">
      <c r="A29" s="187" t="s">
        <v>214</v>
      </c>
      <c r="B29" s="188" t="s">
        <v>221</v>
      </c>
      <c r="C29" s="189" t="s">
        <v>221</v>
      </c>
      <c r="D29" s="189" t="s">
        <v>223</v>
      </c>
      <c r="E29" s="190" t="s">
        <v>224</v>
      </c>
    </row>
    <row r="30" spans="1:5" ht="73.5" customHeight="1" thickBot="1">
      <c r="A30" s="182" t="s">
        <v>215</v>
      </c>
      <c r="B30" s="180" t="s">
        <v>222</v>
      </c>
      <c r="C30" s="175" t="s">
        <v>225</v>
      </c>
      <c r="D30" s="176" t="s">
        <v>226</v>
      </c>
      <c r="E30" s="177" t="s">
        <v>226</v>
      </c>
    </row>
    <row r="31" ht="14.25">
      <c r="A31" s="105" t="s">
        <v>228</v>
      </c>
    </row>
    <row r="33" ht="14.25">
      <c r="A33" s="1"/>
    </row>
  </sheetData>
  <sheetProtection/>
  <mergeCells count="21">
    <mergeCell ref="A1:C1"/>
    <mergeCell ref="A21:E21"/>
    <mergeCell ref="A17:E17"/>
    <mergeCell ref="A18:E18"/>
    <mergeCell ref="A19:E19"/>
    <mergeCell ref="A20:E20"/>
    <mergeCell ref="A4:E4"/>
    <mergeCell ref="A5:E5"/>
    <mergeCell ref="A6:E6"/>
    <mergeCell ref="A7:E7"/>
    <mergeCell ref="A8:E8"/>
    <mergeCell ref="A9:E9"/>
    <mergeCell ref="A10:E10"/>
    <mergeCell ref="A22:E22"/>
    <mergeCell ref="A23:E23"/>
    <mergeCell ref="A11:E11"/>
    <mergeCell ref="A12:E12"/>
    <mergeCell ref="A13:E13"/>
    <mergeCell ref="A14:E14"/>
    <mergeCell ref="A15:E15"/>
    <mergeCell ref="A16:E16"/>
  </mergeCells>
  <printOptions/>
  <pageMargins left="0.88" right="0.25" top="0.3" bottom="0.65" header="0.3" footer="0.3"/>
  <pageSetup fitToHeight="1" fitToWidth="1" horizontalDpi="600" verticalDpi="600" orientation="portrait" scale="73" r:id="rId2"/>
  <headerFooter>
    <oddFooter>&amp;CPage 1</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E65"/>
  <sheetViews>
    <sheetView zoomScale="75" zoomScaleNormal="75" zoomScalePageLayoutView="0" workbookViewId="0" topLeftCell="A1">
      <selection activeCell="C62" sqref="C62"/>
    </sheetView>
  </sheetViews>
  <sheetFormatPr defaultColWidth="9.140625" defaultRowHeight="15"/>
  <cols>
    <col min="1" max="1" width="22.140625" style="0" customWidth="1"/>
    <col min="2" max="2" width="12.421875" style="0" customWidth="1"/>
    <col min="3" max="3" width="65.00390625" style="0" customWidth="1"/>
    <col min="4" max="4" width="13.28125" style="0" customWidth="1"/>
  </cols>
  <sheetData>
    <row r="1" spans="1:4" ht="58.5" customHeight="1" thickBot="1">
      <c r="A1" s="282" t="s">
        <v>4</v>
      </c>
      <c r="B1" s="283"/>
      <c r="C1" s="283"/>
      <c r="D1" s="284"/>
    </row>
    <row r="2" ht="21" thickBot="1">
      <c r="A2" s="22" t="s">
        <v>304</v>
      </c>
    </row>
    <row r="3" spans="1:4" ht="18" thickBot="1">
      <c r="A3" s="233" t="s">
        <v>267</v>
      </c>
      <c r="B3" s="108"/>
      <c r="C3" s="108"/>
      <c r="D3" s="109"/>
    </row>
    <row r="4" ht="15" thickBot="1">
      <c r="A4" s="1"/>
    </row>
    <row r="5" spans="1:4" ht="19.5" customHeight="1" thickBot="1">
      <c r="A5" s="2" t="s">
        <v>5</v>
      </c>
      <c r="B5" s="285" t="s">
        <v>200</v>
      </c>
      <c r="C5" s="286"/>
      <c r="D5" s="287"/>
    </row>
    <row r="6" spans="1:4" ht="19.5" customHeight="1">
      <c r="A6" s="2" t="s">
        <v>6</v>
      </c>
      <c r="B6" s="165" t="s">
        <v>201</v>
      </c>
      <c r="C6" s="166"/>
      <c r="D6" s="167"/>
    </row>
    <row r="7" spans="1:4" ht="19.5" customHeight="1">
      <c r="A7" s="4"/>
      <c r="B7" s="239" t="s">
        <v>282</v>
      </c>
      <c r="C7" s="168"/>
      <c r="D7" s="169"/>
    </row>
    <row r="8" spans="1:4" ht="19.5" customHeight="1" thickBot="1">
      <c r="A8" s="4"/>
      <c r="B8" s="170"/>
      <c r="C8" s="171"/>
      <c r="D8" s="172"/>
    </row>
    <row r="9" spans="1:4" ht="19.5" customHeight="1" thickBot="1">
      <c r="A9" s="2" t="s">
        <v>7</v>
      </c>
      <c r="B9" s="288">
        <v>1234567890</v>
      </c>
      <c r="C9" s="289"/>
      <c r="D9" s="290"/>
    </row>
    <row r="10" spans="1:4" ht="14.25">
      <c r="A10" s="6"/>
      <c r="B10" s="6"/>
      <c r="C10" s="7"/>
      <c r="D10" s="7"/>
    </row>
    <row r="11" spans="1:4" ht="15" thickBot="1">
      <c r="A11" s="8" t="s">
        <v>8</v>
      </c>
      <c r="B11" s="173">
        <v>41334</v>
      </c>
      <c r="C11" s="174" t="s">
        <v>269</v>
      </c>
      <c r="D11" s="173">
        <v>41670</v>
      </c>
    </row>
    <row r="13" spans="1:5" ht="15" thickBot="1">
      <c r="A13" s="174" t="s">
        <v>277</v>
      </c>
      <c r="B13" s="164">
        <v>105</v>
      </c>
      <c r="C13" s="174" t="s">
        <v>277</v>
      </c>
      <c r="D13" s="164">
        <v>50</v>
      </c>
      <c r="E13" s="238"/>
    </row>
    <row r="14" spans="1:4" ht="15" thickBot="1">
      <c r="A14" s="174" t="s">
        <v>278</v>
      </c>
      <c r="B14" s="164">
        <v>0</v>
      </c>
      <c r="C14" s="174" t="s">
        <v>278</v>
      </c>
      <c r="D14" s="164">
        <v>0</v>
      </c>
    </row>
    <row r="15" spans="1:4" ht="15" thickBot="1">
      <c r="A15" s="174" t="s">
        <v>279</v>
      </c>
      <c r="B15" s="258">
        <f>B13+B14</f>
        <v>105</v>
      </c>
      <c r="C15" s="174" t="s">
        <v>279</v>
      </c>
      <c r="D15" s="258">
        <f>D13+D14</f>
        <v>50</v>
      </c>
    </row>
    <row r="16" ht="14.25">
      <c r="A16" s="174"/>
    </row>
    <row r="17" spans="1:4" ht="15" thickBot="1">
      <c r="A17" s="174" t="s">
        <v>280</v>
      </c>
      <c r="B17" s="164">
        <v>92</v>
      </c>
      <c r="C17" s="174" t="s">
        <v>280</v>
      </c>
      <c r="D17" s="164">
        <v>47</v>
      </c>
    </row>
    <row r="18" spans="1:4" ht="15" thickBot="1">
      <c r="A18" s="174"/>
      <c r="C18" s="174" t="s">
        <v>281</v>
      </c>
      <c r="D18" s="259">
        <f>1-D17/B17</f>
        <v>0.48913043478260865</v>
      </c>
    </row>
    <row r="19" spans="1:5" ht="15" thickBot="1">
      <c r="A19" s="9"/>
      <c r="B19" s="5"/>
      <c r="C19" s="9"/>
      <c r="D19" s="5"/>
      <c r="E19" s="238"/>
    </row>
    <row r="20" spans="1:4" ht="18" thickBot="1">
      <c r="A20" s="291" t="s">
        <v>9</v>
      </c>
      <c r="B20" s="292"/>
      <c r="C20" s="292"/>
      <c r="D20" s="293"/>
    </row>
    <row r="21" spans="1:4" ht="14.25">
      <c r="A21" s="294" t="s">
        <v>202</v>
      </c>
      <c r="B21" s="295"/>
      <c r="C21" s="295"/>
      <c r="D21" s="296"/>
    </row>
    <row r="22" spans="1:4" ht="14.25">
      <c r="A22" s="297"/>
      <c r="B22" s="298"/>
      <c r="C22" s="298"/>
      <c r="D22" s="299"/>
    </row>
    <row r="23" spans="1:4" ht="14.25">
      <c r="A23" s="297"/>
      <c r="B23" s="298"/>
      <c r="C23" s="298"/>
      <c r="D23" s="299"/>
    </row>
    <row r="24" spans="1:4" ht="14.25">
      <c r="A24" s="297"/>
      <c r="B24" s="298"/>
      <c r="C24" s="298"/>
      <c r="D24" s="299"/>
    </row>
    <row r="25" spans="1:4" ht="14.25">
      <c r="A25" s="297"/>
      <c r="B25" s="298"/>
      <c r="C25" s="298"/>
      <c r="D25" s="299"/>
    </row>
    <row r="26" spans="1:4" ht="14.25">
      <c r="A26" s="297"/>
      <c r="B26" s="298"/>
      <c r="C26" s="298"/>
      <c r="D26" s="299"/>
    </row>
    <row r="27" spans="1:4" ht="14.25">
      <c r="A27" s="297"/>
      <c r="B27" s="298"/>
      <c r="C27" s="298"/>
      <c r="D27" s="299"/>
    </row>
    <row r="28" spans="1:4" ht="14.25">
      <c r="A28" s="297"/>
      <c r="B28" s="298"/>
      <c r="C28" s="298"/>
      <c r="D28" s="299"/>
    </row>
    <row r="29" spans="1:4" ht="14.25">
      <c r="A29" s="297"/>
      <c r="B29" s="298"/>
      <c r="C29" s="298"/>
      <c r="D29" s="299"/>
    </row>
    <row r="30" spans="1:4" ht="14.25">
      <c r="A30" s="297"/>
      <c r="B30" s="298"/>
      <c r="C30" s="298"/>
      <c r="D30" s="299"/>
    </row>
    <row r="31" spans="1:4" ht="14.25">
      <c r="A31" s="297"/>
      <c r="B31" s="298"/>
      <c r="C31" s="298"/>
      <c r="D31" s="299"/>
    </row>
    <row r="32" spans="1:4" ht="14.25">
      <c r="A32" s="297"/>
      <c r="B32" s="298"/>
      <c r="C32" s="298"/>
      <c r="D32" s="299"/>
    </row>
    <row r="33" spans="1:4" ht="14.25">
      <c r="A33" s="297"/>
      <c r="B33" s="298"/>
      <c r="C33" s="298"/>
      <c r="D33" s="299"/>
    </row>
    <row r="34" spans="1:4" ht="14.25">
      <c r="A34" s="297"/>
      <c r="B34" s="298"/>
      <c r="C34" s="298"/>
      <c r="D34" s="299"/>
    </row>
    <row r="35" spans="1:4" ht="14.25">
      <c r="A35" s="297"/>
      <c r="B35" s="298"/>
      <c r="C35" s="298"/>
      <c r="D35" s="299"/>
    </row>
    <row r="36" spans="1:4" ht="14.25">
      <c r="A36" s="297"/>
      <c r="B36" s="298"/>
      <c r="C36" s="298"/>
      <c r="D36" s="299"/>
    </row>
    <row r="37" spans="1:4" ht="14.25">
      <c r="A37" s="297"/>
      <c r="B37" s="298"/>
      <c r="C37" s="298"/>
      <c r="D37" s="299"/>
    </row>
    <row r="38" spans="1:4" ht="14.25">
      <c r="A38" s="297"/>
      <c r="B38" s="298"/>
      <c r="C38" s="298"/>
      <c r="D38" s="299"/>
    </row>
    <row r="39" spans="1:4" ht="14.25">
      <c r="A39" s="297"/>
      <c r="B39" s="298"/>
      <c r="C39" s="298"/>
      <c r="D39" s="299"/>
    </row>
    <row r="40" spans="1:4" ht="14.25">
      <c r="A40" s="297"/>
      <c r="B40" s="298"/>
      <c r="C40" s="298"/>
      <c r="D40" s="299"/>
    </row>
    <row r="41" spans="1:4" ht="14.25">
      <c r="A41" s="297"/>
      <c r="B41" s="298"/>
      <c r="C41" s="298"/>
      <c r="D41" s="299"/>
    </row>
    <row r="42" spans="1:4" ht="14.25">
      <c r="A42" s="297"/>
      <c r="B42" s="298"/>
      <c r="C42" s="298"/>
      <c r="D42" s="299"/>
    </row>
    <row r="43" spans="1:4" ht="14.25">
      <c r="A43" s="297"/>
      <c r="B43" s="298"/>
      <c r="C43" s="298"/>
      <c r="D43" s="299"/>
    </row>
    <row r="44" spans="1:4" ht="14.25">
      <c r="A44" s="297"/>
      <c r="B44" s="298"/>
      <c r="C44" s="298"/>
      <c r="D44" s="299"/>
    </row>
    <row r="45" spans="1:4" ht="14.25">
      <c r="A45" s="297"/>
      <c r="B45" s="298"/>
      <c r="C45" s="298"/>
      <c r="D45" s="299"/>
    </row>
    <row r="46" spans="1:4" ht="14.25">
      <c r="A46" s="297"/>
      <c r="B46" s="298"/>
      <c r="C46" s="298"/>
      <c r="D46" s="299"/>
    </row>
    <row r="47" spans="1:4" ht="14.25">
      <c r="A47" s="297"/>
      <c r="B47" s="298"/>
      <c r="C47" s="298"/>
      <c r="D47" s="299"/>
    </row>
    <row r="48" spans="1:4" ht="14.25">
      <c r="A48" s="297"/>
      <c r="B48" s="298"/>
      <c r="C48" s="298"/>
      <c r="D48" s="299"/>
    </row>
    <row r="49" spans="1:4" ht="14.25">
      <c r="A49" s="297"/>
      <c r="B49" s="298"/>
      <c r="C49" s="298"/>
      <c r="D49" s="299"/>
    </row>
    <row r="50" spans="1:4" ht="14.25">
      <c r="A50" s="297"/>
      <c r="B50" s="298"/>
      <c r="C50" s="298"/>
      <c r="D50" s="299"/>
    </row>
    <row r="51" spans="1:4" ht="14.25">
      <c r="A51" s="297"/>
      <c r="B51" s="298"/>
      <c r="C51" s="298"/>
      <c r="D51" s="299"/>
    </row>
    <row r="52" spans="1:4" ht="14.25">
      <c r="A52" s="297"/>
      <c r="B52" s="298"/>
      <c r="C52" s="298"/>
      <c r="D52" s="299"/>
    </row>
    <row r="53" spans="1:4" ht="14.25">
      <c r="A53" s="297"/>
      <c r="B53" s="298"/>
      <c r="C53" s="298"/>
      <c r="D53" s="299"/>
    </row>
    <row r="54" spans="1:4" ht="15" thickBot="1">
      <c r="A54" s="300"/>
      <c r="B54" s="301"/>
      <c r="C54" s="301"/>
      <c r="D54" s="302"/>
    </row>
    <row r="55" ht="14.25">
      <c r="A55" s="1"/>
    </row>
    <row r="56" ht="14.25">
      <c r="A56" s="12" t="s">
        <v>10</v>
      </c>
    </row>
    <row r="57" ht="14.25">
      <c r="A57" s="1"/>
    </row>
    <row r="58" spans="1:4" ht="15.75" thickBot="1">
      <c r="A58" s="110" t="s">
        <v>11</v>
      </c>
      <c r="B58" s="280" t="s">
        <v>203</v>
      </c>
      <c r="C58" s="280"/>
      <c r="D58" s="280"/>
    </row>
    <row r="59" spans="1:4" ht="15.75" thickBot="1">
      <c r="A59" s="110" t="s">
        <v>12</v>
      </c>
      <c r="B59" s="280" t="s">
        <v>204</v>
      </c>
      <c r="C59" s="280"/>
      <c r="D59" s="280"/>
    </row>
    <row r="60" spans="1:4" ht="15.75" thickBot="1">
      <c r="A60" s="110" t="s">
        <v>13</v>
      </c>
      <c r="B60" s="280" t="s">
        <v>205</v>
      </c>
      <c r="C60" s="280"/>
      <c r="D60" s="280"/>
    </row>
    <row r="61" spans="1:4" ht="15.75" thickBot="1">
      <c r="A61" s="110" t="s">
        <v>14</v>
      </c>
      <c r="B61" s="281" t="s">
        <v>206</v>
      </c>
      <c r="C61" s="280"/>
      <c r="D61" s="280"/>
    </row>
    <row r="62" spans="1:3" ht="17.25">
      <c r="A62" s="1"/>
      <c r="C62" s="269" t="s">
        <v>305</v>
      </c>
    </row>
    <row r="63" ht="14.25">
      <c r="A63" s="1"/>
    </row>
    <row r="64" ht="14.25">
      <c r="A64" s="1"/>
    </row>
    <row r="65" ht="14.25">
      <c r="A65" s="1"/>
    </row>
  </sheetData>
  <sheetProtection/>
  <mergeCells count="9">
    <mergeCell ref="B58:D58"/>
    <mergeCell ref="B59:D59"/>
    <mergeCell ref="B60:D60"/>
    <mergeCell ref="B61:D61"/>
    <mergeCell ref="A1:D1"/>
    <mergeCell ref="B5:D5"/>
    <mergeCell ref="B9:D9"/>
    <mergeCell ref="A20:D20"/>
    <mergeCell ref="A21:D54"/>
  </mergeCells>
  <hyperlinks>
    <hyperlink ref="B61" r:id="rId1" display="jjones@abcnh.com"/>
  </hyperlinks>
  <printOptions/>
  <pageMargins left="0.7" right="0.7" top="0.3" bottom="0.54" header="0.3" footer="0.3"/>
  <pageSetup fitToHeight="1" fitToWidth="1" horizontalDpi="600" verticalDpi="600" orientation="portrait" scale="80" r:id="rId2"/>
  <headerFooter>
    <oddFooter>&amp;CPage 2</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54"/>
  <sheetViews>
    <sheetView zoomScale="75" zoomScaleNormal="75" zoomScalePageLayoutView="0" workbookViewId="0" topLeftCell="A1">
      <selection activeCell="A3" sqref="A3"/>
    </sheetView>
  </sheetViews>
  <sheetFormatPr defaultColWidth="9.140625" defaultRowHeight="15"/>
  <cols>
    <col min="1" max="1" width="9.00390625" style="0" customWidth="1"/>
    <col min="2" max="11" width="10.7109375" style="0" customWidth="1"/>
  </cols>
  <sheetData>
    <row r="1" spans="1:11" ht="34.5" customHeight="1" thickBot="1">
      <c r="A1" s="115" t="s">
        <v>152</v>
      </c>
      <c r="B1" s="116"/>
      <c r="C1" s="116"/>
      <c r="D1" s="116"/>
      <c r="E1" s="116"/>
      <c r="F1" s="116"/>
      <c r="G1" s="116"/>
      <c r="H1" s="116"/>
      <c r="I1" s="116"/>
      <c r="J1" s="116"/>
      <c r="K1" s="117"/>
    </row>
    <row r="2" spans="1:11" ht="30" customHeight="1">
      <c r="A2" s="310" t="s">
        <v>15</v>
      </c>
      <c r="B2" s="311"/>
      <c r="C2" s="311"/>
      <c r="D2" s="311"/>
      <c r="E2" s="311"/>
      <c r="F2" s="311"/>
      <c r="G2" s="311"/>
      <c r="H2" s="311"/>
      <c r="I2" s="311"/>
      <c r="J2" s="311"/>
      <c r="K2" s="311"/>
    </row>
    <row r="3" spans="1:7" ht="21" thickBot="1">
      <c r="A3" s="22" t="s">
        <v>304</v>
      </c>
      <c r="G3" s="269" t="s">
        <v>305</v>
      </c>
    </row>
    <row r="4" spans="1:7" ht="30.75" customHeight="1" thickBot="1">
      <c r="A4" s="107" t="s">
        <v>16</v>
      </c>
      <c r="B4" s="313" t="s">
        <v>17</v>
      </c>
      <c r="C4" s="314"/>
      <c r="D4" s="314"/>
      <c r="E4" s="314"/>
      <c r="F4" s="314"/>
      <c r="G4" s="314"/>
    </row>
    <row r="5" spans="1:10" ht="15.75" thickBot="1">
      <c r="A5" s="85" t="s">
        <v>155</v>
      </c>
      <c r="B5" s="112" t="s">
        <v>19</v>
      </c>
      <c r="C5" s="108"/>
      <c r="D5" s="108"/>
      <c r="E5" s="108"/>
      <c r="F5" s="108"/>
      <c r="G5" s="109"/>
      <c r="J5" s="23"/>
    </row>
    <row r="6" spans="1:10" ht="15.75" thickBot="1">
      <c r="A6" s="85"/>
      <c r="B6" s="112" t="s">
        <v>20</v>
      </c>
      <c r="C6" s="108"/>
      <c r="D6" s="108"/>
      <c r="E6" s="108"/>
      <c r="F6" s="108"/>
      <c r="G6" s="109"/>
      <c r="J6" s="23"/>
    </row>
    <row r="7" spans="1:10" ht="15.75" thickBot="1">
      <c r="A7" s="85"/>
      <c r="B7" s="112" t="s">
        <v>21</v>
      </c>
      <c r="C7" s="108"/>
      <c r="D7" s="108"/>
      <c r="E7" s="108"/>
      <c r="F7" s="108"/>
      <c r="G7" s="109"/>
      <c r="J7" s="23"/>
    </row>
    <row r="8" spans="1:10" ht="15.75" thickBot="1">
      <c r="A8" s="85"/>
      <c r="B8" s="112" t="s">
        <v>22</v>
      </c>
      <c r="C8" s="108"/>
      <c r="D8" s="108"/>
      <c r="E8" s="108"/>
      <c r="F8" s="108"/>
      <c r="G8" s="109"/>
      <c r="J8" s="23"/>
    </row>
    <row r="9" ht="14.25">
      <c r="A9" s="1"/>
    </row>
    <row r="10" ht="17.25">
      <c r="A10" s="114" t="s">
        <v>26</v>
      </c>
    </row>
    <row r="11" ht="15">
      <c r="A11" s="111"/>
    </row>
    <row r="12" spans="1:11" ht="30.75" customHeight="1">
      <c r="A12" s="312" t="s">
        <v>243</v>
      </c>
      <c r="B12" s="311"/>
      <c r="C12" s="311"/>
      <c r="D12" s="311"/>
      <c r="E12" s="311"/>
      <c r="F12" s="311"/>
      <c r="G12" s="311"/>
      <c r="H12" s="311"/>
      <c r="I12" s="311"/>
      <c r="J12" s="311"/>
      <c r="K12" s="311"/>
    </row>
    <row r="13" ht="15">
      <c r="A13" s="111"/>
    </row>
    <row r="14" ht="15">
      <c r="A14" s="113" t="s">
        <v>27</v>
      </c>
    </row>
    <row r="15" ht="14.25">
      <c r="A15" s="1"/>
    </row>
    <row r="16" spans="1:11" ht="15.75" thickBot="1">
      <c r="A16" s="90" t="s">
        <v>158</v>
      </c>
      <c r="I16" s="196">
        <v>41456</v>
      </c>
      <c r="J16" s="194" t="s">
        <v>157</v>
      </c>
      <c r="K16" s="196">
        <v>41640</v>
      </c>
    </row>
    <row r="17" spans="1:11" ht="15.75" thickBot="1">
      <c r="A17" s="90" t="s">
        <v>240</v>
      </c>
      <c r="I17" s="249">
        <f>I16</f>
        <v>41456</v>
      </c>
      <c r="J17" s="194" t="s">
        <v>157</v>
      </c>
      <c r="K17" s="197">
        <v>41609</v>
      </c>
    </row>
    <row r="18" spans="1:11" ht="14.25">
      <c r="A18" s="1"/>
      <c r="K18" s="143"/>
    </row>
    <row r="19" spans="1:11" ht="60" customHeight="1">
      <c r="A19" s="312" t="s">
        <v>268</v>
      </c>
      <c r="B19" s="311"/>
      <c r="C19" s="311"/>
      <c r="D19" s="311"/>
      <c r="E19" s="311"/>
      <c r="F19" s="311"/>
      <c r="G19" s="311"/>
      <c r="H19" s="311"/>
      <c r="I19" s="311"/>
      <c r="J19" s="311"/>
      <c r="K19" s="311"/>
    </row>
    <row r="20" spans="1:11" ht="14.25">
      <c r="A20" s="1"/>
      <c r="K20" s="143"/>
    </row>
    <row r="21" spans="1:11" ht="15">
      <c r="A21" s="113" t="s">
        <v>28</v>
      </c>
      <c r="K21" s="143"/>
    </row>
    <row r="22" spans="1:11" ht="14.25">
      <c r="A22" s="1"/>
      <c r="K22" s="143"/>
    </row>
    <row r="23" spans="1:11" ht="15" thickBot="1">
      <c r="A23" s="90" t="s">
        <v>185</v>
      </c>
      <c r="K23" s="195">
        <v>135000</v>
      </c>
    </row>
    <row r="24" spans="1:11" ht="15" thickBot="1">
      <c r="A24" s="90" t="s">
        <v>237</v>
      </c>
      <c r="K24" s="196">
        <v>41456</v>
      </c>
    </row>
    <row r="25" spans="1:11" ht="14.25">
      <c r="A25" s="1"/>
      <c r="K25" s="198"/>
    </row>
    <row r="26" spans="1:11" ht="15">
      <c r="A26" s="113" t="s">
        <v>29</v>
      </c>
      <c r="K26" s="198"/>
    </row>
    <row r="27" spans="1:11" ht="14.25">
      <c r="A27" s="1"/>
      <c r="K27" s="198"/>
    </row>
    <row r="28" spans="1:11" ht="15" thickBot="1">
      <c r="A28" s="90" t="s">
        <v>186</v>
      </c>
      <c r="K28" s="199" t="s">
        <v>238</v>
      </c>
    </row>
    <row r="29" spans="1:11" ht="15" thickBot="1">
      <c r="A29" s="90" t="s">
        <v>187</v>
      </c>
      <c r="K29" s="200">
        <v>5</v>
      </c>
    </row>
    <row r="30" spans="1:11" ht="15" thickBot="1">
      <c r="A30" s="90" t="s">
        <v>188</v>
      </c>
      <c r="K30" s="195">
        <v>135000</v>
      </c>
    </row>
    <row r="31" spans="1:11" ht="15" thickBot="1">
      <c r="A31" s="90" t="s">
        <v>189</v>
      </c>
      <c r="K31" s="196">
        <v>41456</v>
      </c>
    </row>
    <row r="32" spans="1:11" ht="14.25">
      <c r="A32" s="11"/>
      <c r="K32" s="198"/>
    </row>
    <row r="33" spans="1:11" ht="15">
      <c r="A33" s="113" t="s">
        <v>30</v>
      </c>
      <c r="K33" s="198"/>
    </row>
    <row r="34" spans="1:11" ht="14.25">
      <c r="A34" s="1"/>
      <c r="K34" s="198"/>
    </row>
    <row r="35" spans="1:11" ht="15" thickBot="1">
      <c r="A35" s="90" t="s">
        <v>186</v>
      </c>
      <c r="K35" s="199" t="s">
        <v>239</v>
      </c>
    </row>
    <row r="36" spans="1:11" ht="15" thickBot="1">
      <c r="A36" s="90" t="s">
        <v>190</v>
      </c>
      <c r="K36" s="201">
        <v>10</v>
      </c>
    </row>
    <row r="37" spans="1:11" ht="15" thickBot="1">
      <c r="A37" s="90" t="s">
        <v>188</v>
      </c>
      <c r="K37" s="195">
        <v>135000</v>
      </c>
    </row>
    <row r="38" spans="1:11" ht="15" thickBot="1">
      <c r="A38" s="90" t="s">
        <v>189</v>
      </c>
      <c r="K38" s="196">
        <v>41456</v>
      </c>
    </row>
    <row r="39" ht="14.25">
      <c r="A39" s="11"/>
    </row>
    <row r="40" spans="1:11" ht="30" customHeight="1">
      <c r="A40" s="312" t="s">
        <v>244</v>
      </c>
      <c r="B40" s="311"/>
      <c r="C40" s="311"/>
      <c r="D40" s="311"/>
      <c r="E40" s="311"/>
      <c r="F40" s="311"/>
      <c r="G40" s="311"/>
      <c r="H40" s="311"/>
      <c r="I40" s="311"/>
      <c r="J40" s="311"/>
      <c r="K40" s="311"/>
    </row>
    <row r="41" ht="14.25">
      <c r="A41" s="1"/>
    </row>
    <row r="42" ht="17.25">
      <c r="A42" s="114" t="s">
        <v>23</v>
      </c>
    </row>
    <row r="43" spans="1:11" ht="30.75" customHeight="1">
      <c r="A43" s="312" t="s">
        <v>191</v>
      </c>
      <c r="B43" s="311"/>
      <c r="C43" s="311"/>
      <c r="D43" s="311"/>
      <c r="E43" s="311"/>
      <c r="F43" s="311"/>
      <c r="G43" s="311"/>
      <c r="H43" s="311"/>
      <c r="I43" s="311"/>
      <c r="J43" s="311"/>
      <c r="K43" s="311"/>
    </row>
    <row r="44" ht="15" thickBot="1">
      <c r="A44" s="1"/>
    </row>
    <row r="45" spans="1:11" ht="15" thickBot="1">
      <c r="A45" s="308" t="s">
        <v>25</v>
      </c>
      <c r="B45" s="309"/>
      <c r="C45" s="305" t="s">
        <v>24</v>
      </c>
      <c r="D45" s="306"/>
      <c r="E45" s="306"/>
      <c r="F45" s="306"/>
      <c r="G45" s="306"/>
      <c r="H45" s="306"/>
      <c r="I45" s="306"/>
      <c r="J45" s="306"/>
      <c r="K45" s="307"/>
    </row>
    <row r="46" spans="1:11" ht="15" thickBot="1">
      <c r="A46" s="308" t="s">
        <v>98</v>
      </c>
      <c r="B46" s="309"/>
      <c r="C46" s="87" t="s">
        <v>153</v>
      </c>
      <c r="D46" s="14">
        <v>1</v>
      </c>
      <c r="E46" s="14">
        <v>2</v>
      </c>
      <c r="F46" s="14">
        <v>3</v>
      </c>
      <c r="G46" s="14">
        <v>4</v>
      </c>
      <c r="H46" s="14">
        <v>5</v>
      </c>
      <c r="I46" s="14">
        <v>6</v>
      </c>
      <c r="J46" s="14">
        <v>7</v>
      </c>
      <c r="K46" s="15">
        <v>8</v>
      </c>
    </row>
    <row r="47" spans="1:11" ht="15" thickBot="1">
      <c r="A47" s="47"/>
      <c r="B47" s="48"/>
      <c r="C47" s="88">
        <f>DATE(YEAR(E47-40),MONTH(E47-40),1)</f>
        <v>41426</v>
      </c>
      <c r="D47" s="89">
        <f>IF(A5="x",I16,IF(A6="x",K24,IF(A7="x",K31,IF(A8="x",K38,"1"/1/2099))))</f>
        <v>41456</v>
      </c>
      <c r="E47" s="89">
        <f aca="true" t="shared" si="0" ref="E47:K47">DATE(YEAR(D47+40),MONTH(D47+40),1)</f>
        <v>41487</v>
      </c>
      <c r="F47" s="89">
        <f t="shared" si="0"/>
        <v>41518</v>
      </c>
      <c r="G47" s="89">
        <f t="shared" si="0"/>
        <v>41548</v>
      </c>
      <c r="H47" s="89">
        <f t="shared" si="0"/>
        <v>41579</v>
      </c>
      <c r="I47" s="89">
        <f t="shared" si="0"/>
        <v>41609</v>
      </c>
      <c r="J47" s="89">
        <f t="shared" si="0"/>
        <v>41640</v>
      </c>
      <c r="K47" s="89">
        <f t="shared" si="0"/>
        <v>41671</v>
      </c>
    </row>
    <row r="48" spans="1:11" ht="15" thickBot="1">
      <c r="A48" s="303"/>
      <c r="B48" s="304"/>
      <c r="C48" s="51">
        <v>105</v>
      </c>
      <c r="D48" s="51">
        <v>100</v>
      </c>
      <c r="E48" s="193">
        <v>90</v>
      </c>
      <c r="F48" s="193">
        <v>80</v>
      </c>
      <c r="G48" s="193">
        <v>70</v>
      </c>
      <c r="H48" s="193">
        <v>60</v>
      </c>
      <c r="I48" s="193">
        <v>55</v>
      </c>
      <c r="J48" s="193">
        <v>50</v>
      </c>
      <c r="K48" s="193"/>
    </row>
    <row r="49" spans="1:11" ht="15" thickBot="1">
      <c r="A49" s="303"/>
      <c r="B49" s="304"/>
      <c r="C49" s="305" t="s">
        <v>24</v>
      </c>
      <c r="D49" s="306"/>
      <c r="E49" s="306"/>
      <c r="F49" s="306"/>
      <c r="G49" s="306"/>
      <c r="H49" s="306"/>
      <c r="I49" s="306"/>
      <c r="J49" s="306"/>
      <c r="K49" s="307"/>
    </row>
    <row r="50" spans="1:11" ht="15" thickBot="1">
      <c r="A50" s="303"/>
      <c r="B50" s="304"/>
      <c r="C50" s="13">
        <v>9</v>
      </c>
      <c r="D50" s="14">
        <v>10</v>
      </c>
      <c r="E50" s="14">
        <v>11</v>
      </c>
      <c r="F50" s="14">
        <v>12</v>
      </c>
      <c r="G50" s="14">
        <v>13</v>
      </c>
      <c r="H50" s="14">
        <v>14</v>
      </c>
      <c r="I50" s="14">
        <v>15</v>
      </c>
      <c r="J50" s="14">
        <v>16</v>
      </c>
      <c r="K50" s="15" t="s">
        <v>156</v>
      </c>
    </row>
    <row r="51" spans="1:11" ht="15" thickBot="1">
      <c r="A51" s="47"/>
      <c r="B51" s="48"/>
      <c r="C51" s="88">
        <f>DATE(YEAR(K47+40),MONTH(K47+40),1)</f>
        <v>41699</v>
      </c>
      <c r="D51" s="89">
        <f>DATE(YEAR(C51+40),MONTH(C51+40),1)</f>
        <v>41730</v>
      </c>
      <c r="E51" s="89">
        <f aca="true" t="shared" si="1" ref="E51:K51">DATE(YEAR(D51+40),MONTH(D51+40),1)</f>
        <v>41760</v>
      </c>
      <c r="F51" s="89">
        <f t="shared" si="1"/>
        <v>41791</v>
      </c>
      <c r="G51" s="89">
        <f t="shared" si="1"/>
        <v>41821</v>
      </c>
      <c r="H51" s="89">
        <f t="shared" si="1"/>
        <v>41852</v>
      </c>
      <c r="I51" s="89">
        <f t="shared" si="1"/>
        <v>41883</v>
      </c>
      <c r="J51" s="89">
        <f t="shared" si="1"/>
        <v>41913</v>
      </c>
      <c r="K51" s="89">
        <f t="shared" si="1"/>
        <v>41944</v>
      </c>
    </row>
    <row r="52" spans="1:11" ht="15" thickBot="1">
      <c r="A52" s="303"/>
      <c r="B52" s="304"/>
      <c r="C52" s="193"/>
      <c r="D52" s="193"/>
      <c r="E52" s="193"/>
      <c r="F52" s="193"/>
      <c r="G52" s="193"/>
      <c r="H52" s="193"/>
      <c r="I52" s="193"/>
      <c r="J52" s="193"/>
      <c r="K52" s="193"/>
    </row>
    <row r="53" ht="14.25">
      <c r="A53" s="1"/>
    </row>
    <row r="54" spans="1:6" ht="18" thickBot="1">
      <c r="A54" s="114" t="s">
        <v>18</v>
      </c>
      <c r="F54" s="86">
        <f>C48-IF(ISNA(HLOOKUP(MAX(K16,K17),$C$47:$K$48,2,FALSE)),0,HLOOKUP(MAX(K16,K17),$C$47:$K$48,2,FALSE))-IF(ISNA(HLOOKUP(MAX(K16,K17),$C$51:$K$52,2,FALSE)),0,HLOOKUP(MAX(K16,K17),$C$51:$K$52,2,FALSE))</f>
        <v>55</v>
      </c>
    </row>
  </sheetData>
  <sheetProtection/>
  <mergeCells count="14">
    <mergeCell ref="A2:K2"/>
    <mergeCell ref="A43:K43"/>
    <mergeCell ref="A40:K40"/>
    <mergeCell ref="A12:K12"/>
    <mergeCell ref="A19:K19"/>
    <mergeCell ref="B4:G4"/>
    <mergeCell ref="A50:B50"/>
    <mergeCell ref="A52:B52"/>
    <mergeCell ref="C49:K49"/>
    <mergeCell ref="A45:B45"/>
    <mergeCell ref="A46:B46"/>
    <mergeCell ref="A48:B48"/>
    <mergeCell ref="A49:B49"/>
    <mergeCell ref="C45:K45"/>
  </mergeCells>
  <conditionalFormatting sqref="I16">
    <cfRule type="expression" priority="13" dxfId="9">
      <formula>($A$5="x")</formula>
    </cfRule>
  </conditionalFormatting>
  <conditionalFormatting sqref="K23:K24">
    <cfRule type="expression" priority="11" dxfId="9">
      <formula>($A$6="x")</formula>
    </cfRule>
  </conditionalFormatting>
  <conditionalFormatting sqref="K28:K31">
    <cfRule type="expression" priority="10" dxfId="9">
      <formula>($A$7="x")</formula>
    </cfRule>
  </conditionalFormatting>
  <conditionalFormatting sqref="K35:K38">
    <cfRule type="expression" priority="9" dxfId="9">
      <formula>($A$8="x")</formula>
    </cfRule>
  </conditionalFormatting>
  <conditionalFormatting sqref="E48:K48">
    <cfRule type="expression" priority="8" dxfId="9">
      <formula>AND($A$5="x",E47&lt;=$K$16)</formula>
    </cfRule>
  </conditionalFormatting>
  <conditionalFormatting sqref="K16:K17">
    <cfRule type="expression" priority="3" dxfId="9">
      <formula>($A$5="x")</formula>
    </cfRule>
  </conditionalFormatting>
  <conditionalFormatting sqref="C52:K52">
    <cfRule type="expression" priority="1" dxfId="9">
      <formula>AND($A$5="x",C51&lt;=$K$16)</formula>
    </cfRule>
  </conditionalFormatting>
  <printOptions/>
  <pageMargins left="0.7" right="0.7" top="0.36" bottom="0.55" header="0.3" footer="0.3"/>
  <pageSetup fitToHeight="1" fitToWidth="1" horizontalDpi="600" verticalDpi="600" orientation="portrait" scale="75" r:id="rId1"/>
  <headerFooter>
    <oddFooter>&amp;CPage 3</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L70"/>
  <sheetViews>
    <sheetView zoomScale="75" zoomScaleNormal="75" zoomScalePageLayoutView="0" workbookViewId="0" topLeftCell="A46">
      <selection activeCell="A70" sqref="A70"/>
    </sheetView>
  </sheetViews>
  <sheetFormatPr defaultColWidth="9.140625" defaultRowHeight="15"/>
  <cols>
    <col min="1" max="1" width="59.00390625" style="0" customWidth="1"/>
    <col min="2" max="2" width="9.7109375" style="0" bestFit="1" customWidth="1"/>
    <col min="3" max="3" width="1.7109375" style="0" customWidth="1"/>
    <col min="4" max="4" width="9.28125" style="0" bestFit="1" customWidth="1"/>
    <col min="5" max="5" width="1.7109375" style="0" customWidth="1"/>
    <col min="6" max="6" width="9.28125" style="0" bestFit="1" customWidth="1"/>
    <col min="7" max="7" width="1.7109375" style="0" customWidth="1"/>
    <col min="8" max="8" width="9.28125" style="0" bestFit="1" customWidth="1"/>
    <col min="9" max="9" width="1.7109375" style="0" customWidth="1"/>
    <col min="10" max="10" width="9.28125" style="0" bestFit="1" customWidth="1"/>
    <col min="11" max="11" width="2.7109375" style="0" customWidth="1"/>
    <col min="12" max="12" width="9.7109375" style="0" bestFit="1" customWidth="1"/>
  </cols>
  <sheetData>
    <row r="1" spans="1:12" ht="24.75" thickBot="1">
      <c r="A1" s="115" t="s">
        <v>192</v>
      </c>
      <c r="B1" s="116"/>
      <c r="C1" s="116"/>
      <c r="D1" s="116"/>
      <c r="E1" s="116"/>
      <c r="F1" s="116"/>
      <c r="G1" s="116"/>
      <c r="H1" s="116"/>
      <c r="I1" s="116"/>
      <c r="J1" s="116"/>
      <c r="K1" s="116"/>
      <c r="L1" s="117"/>
    </row>
    <row r="2" ht="9.75" customHeight="1"/>
    <row r="3" spans="1:12" ht="60" customHeight="1">
      <c r="A3" s="312" t="s">
        <v>245</v>
      </c>
      <c r="B3" s="311"/>
      <c r="C3" s="311"/>
      <c r="D3" s="311"/>
      <c r="E3" s="311"/>
      <c r="F3" s="311"/>
      <c r="G3" s="311"/>
      <c r="H3" s="311"/>
      <c r="I3" s="311"/>
      <c r="J3" s="311"/>
      <c r="K3" s="311"/>
      <c r="L3" s="311"/>
    </row>
    <row r="4" spans="1:12" ht="9.75" customHeight="1" thickBot="1">
      <c r="A4" s="203"/>
      <c r="B4" s="204"/>
      <c r="C4" s="204"/>
      <c r="D4" s="204"/>
      <c r="E4" s="204"/>
      <c r="F4" s="204"/>
      <c r="G4" s="204"/>
      <c r="H4" s="204"/>
      <c r="I4" s="204"/>
      <c r="J4" s="204"/>
      <c r="K4" s="204"/>
      <c r="L4" s="204"/>
    </row>
    <row r="5" spans="1:12" ht="47.25" customHeight="1" thickBot="1">
      <c r="A5" s="315" t="s">
        <v>283</v>
      </c>
      <c r="B5" s="316"/>
      <c r="C5" s="316"/>
      <c r="D5" s="316"/>
      <c r="E5" s="316"/>
      <c r="F5" s="316"/>
      <c r="G5" s="316"/>
      <c r="H5" s="316"/>
      <c r="I5" s="316"/>
      <c r="J5" s="316"/>
      <c r="K5" s="316"/>
      <c r="L5" s="317"/>
    </row>
    <row r="6" ht="6" customHeight="1"/>
    <row r="7" spans="1:12" ht="21" customHeight="1">
      <c r="A7" s="120" t="s">
        <v>248</v>
      </c>
      <c r="B7" s="119"/>
      <c r="C7" s="119"/>
      <c r="D7" s="119"/>
      <c r="E7" s="119"/>
      <c r="F7" s="119"/>
      <c r="G7" s="119"/>
      <c r="H7" s="119"/>
      <c r="I7" s="119"/>
      <c r="J7" s="119"/>
      <c r="K7" s="119"/>
      <c r="L7" s="119"/>
    </row>
    <row r="8" spans="1:12" ht="15" thickBot="1">
      <c r="A8" s="121" t="s">
        <v>193</v>
      </c>
      <c r="B8" s="128">
        <v>41091</v>
      </c>
      <c r="C8" s="122"/>
      <c r="D8" s="121" t="s">
        <v>194</v>
      </c>
      <c r="E8" s="122"/>
      <c r="F8" s="128">
        <v>41455</v>
      </c>
      <c r="G8" s="26"/>
      <c r="H8" s="26"/>
      <c r="I8" s="26"/>
      <c r="J8" s="26"/>
      <c r="K8" s="26"/>
      <c r="L8" s="26"/>
    </row>
    <row r="9" spans="1:12" ht="14.25">
      <c r="A9" s="126"/>
      <c r="B9" s="126"/>
      <c r="C9" s="126"/>
      <c r="D9" s="126"/>
      <c r="E9" s="126"/>
      <c r="F9" s="126"/>
      <c r="G9" s="126"/>
      <c r="H9" s="126"/>
      <c r="I9" s="126"/>
      <c r="J9" s="126"/>
      <c r="K9" s="126"/>
      <c r="L9" s="126"/>
    </row>
    <row r="10" spans="2:12" ht="14.25">
      <c r="B10" s="124" t="s">
        <v>32</v>
      </c>
      <c r="C10" s="125"/>
      <c r="D10" s="25"/>
      <c r="E10" s="125"/>
      <c r="F10" s="125"/>
      <c r="G10" s="125"/>
      <c r="H10" s="125"/>
      <c r="I10" s="125"/>
      <c r="J10" s="125"/>
      <c r="K10" s="125"/>
      <c r="L10" s="125"/>
    </row>
    <row r="11" spans="1:12" ht="15" thickBot="1">
      <c r="A11" s="123" t="s">
        <v>31</v>
      </c>
      <c r="B11" s="127" t="s">
        <v>33</v>
      </c>
      <c r="C11" s="18"/>
      <c r="D11" s="19" t="s">
        <v>34</v>
      </c>
      <c r="E11" s="17"/>
      <c r="F11" s="19" t="s">
        <v>35</v>
      </c>
      <c r="G11" s="18"/>
      <c r="H11" s="19" t="s">
        <v>36</v>
      </c>
      <c r="I11" s="18"/>
      <c r="J11" s="19" t="s">
        <v>37</v>
      </c>
      <c r="K11" s="18"/>
      <c r="L11" s="19" t="s">
        <v>38</v>
      </c>
    </row>
    <row r="12" spans="1:12" ht="15" thickBot="1">
      <c r="A12" s="260" t="s">
        <v>286</v>
      </c>
      <c r="B12" s="52">
        <v>25920</v>
      </c>
      <c r="C12" s="53"/>
      <c r="D12" s="52"/>
      <c r="E12" s="53"/>
      <c r="F12" s="52"/>
      <c r="G12" s="53"/>
      <c r="H12" s="52"/>
      <c r="I12" s="53"/>
      <c r="J12" s="54"/>
      <c r="K12" s="53"/>
      <c r="L12" s="55">
        <f>SUM(B12:J12)</f>
        <v>25920</v>
      </c>
    </row>
    <row r="13" spans="1:12" ht="15" thickBot="1">
      <c r="A13" s="261" t="s">
        <v>287</v>
      </c>
      <c r="B13" s="52"/>
      <c r="C13" s="53"/>
      <c r="D13" s="52"/>
      <c r="E13" s="53"/>
      <c r="F13" s="52"/>
      <c r="G13" s="53"/>
      <c r="H13" s="52"/>
      <c r="I13" s="53"/>
      <c r="J13" s="54"/>
      <c r="K13" s="53"/>
      <c r="L13" s="55">
        <f aca="true" t="shared" si="0" ref="L13:L20">SUM(B13:J13)</f>
        <v>0</v>
      </c>
    </row>
    <row r="14" spans="1:12" ht="15" thickBot="1">
      <c r="A14" s="261" t="s">
        <v>288</v>
      </c>
      <c r="B14" s="52"/>
      <c r="C14" s="53"/>
      <c r="D14" s="52"/>
      <c r="E14" s="53"/>
      <c r="F14" s="52"/>
      <c r="G14" s="53"/>
      <c r="H14" s="52"/>
      <c r="I14" s="53"/>
      <c r="J14" s="54"/>
      <c r="K14" s="53"/>
      <c r="L14" s="55">
        <f t="shared" si="0"/>
        <v>0</v>
      </c>
    </row>
    <row r="15" spans="1:12" ht="15" thickBot="1">
      <c r="A15" s="261" t="s">
        <v>289</v>
      </c>
      <c r="B15" s="52"/>
      <c r="C15" s="53"/>
      <c r="D15" s="52"/>
      <c r="E15" s="53"/>
      <c r="F15" s="52"/>
      <c r="G15" s="53"/>
      <c r="H15" s="52"/>
      <c r="I15" s="53"/>
      <c r="J15" s="54"/>
      <c r="K15" s="53"/>
      <c r="L15" s="55">
        <f t="shared" si="0"/>
        <v>0</v>
      </c>
    </row>
    <row r="16" spans="1:12" ht="15" thickBot="1">
      <c r="A16" s="261" t="s">
        <v>290</v>
      </c>
      <c r="B16" s="52"/>
      <c r="C16" s="53"/>
      <c r="D16" s="52"/>
      <c r="E16" s="53"/>
      <c r="F16" s="52"/>
      <c r="G16" s="53"/>
      <c r="H16" s="52"/>
      <c r="I16" s="53"/>
      <c r="J16" s="54"/>
      <c r="K16" s="53"/>
      <c r="L16" s="55">
        <f t="shared" si="0"/>
        <v>0</v>
      </c>
    </row>
    <row r="17" spans="1:12" ht="15" thickBot="1">
      <c r="A17" s="261" t="s">
        <v>291</v>
      </c>
      <c r="B17" s="56"/>
      <c r="C17" s="53"/>
      <c r="D17" s="56"/>
      <c r="E17" s="53"/>
      <c r="F17" s="56"/>
      <c r="G17" s="53"/>
      <c r="H17" s="56"/>
      <c r="I17" s="53"/>
      <c r="J17" s="54"/>
      <c r="K17" s="53"/>
      <c r="L17" s="55">
        <f t="shared" si="0"/>
        <v>0</v>
      </c>
    </row>
    <row r="18" spans="1:12" ht="15" thickBot="1">
      <c r="A18" s="261" t="s">
        <v>292</v>
      </c>
      <c r="B18" s="54">
        <f>600*12</f>
        <v>7200</v>
      </c>
      <c r="C18" s="53"/>
      <c r="D18" s="54"/>
      <c r="E18" s="53"/>
      <c r="F18" s="54"/>
      <c r="G18" s="53"/>
      <c r="H18" s="54"/>
      <c r="I18" s="53"/>
      <c r="J18" s="54"/>
      <c r="K18" s="53"/>
      <c r="L18" s="55">
        <f t="shared" si="0"/>
        <v>7200</v>
      </c>
    </row>
    <row r="19" spans="1:12" ht="15" thickBot="1">
      <c r="A19" s="261" t="s">
        <v>293</v>
      </c>
      <c r="B19" s="52">
        <v>720</v>
      </c>
      <c r="C19" s="53"/>
      <c r="D19" s="52"/>
      <c r="E19" s="53"/>
      <c r="F19" s="52"/>
      <c r="G19" s="53"/>
      <c r="H19" s="52"/>
      <c r="I19" s="53"/>
      <c r="J19" s="54"/>
      <c r="K19" s="53"/>
      <c r="L19" s="55">
        <f t="shared" si="0"/>
        <v>720</v>
      </c>
    </row>
    <row r="20" spans="1:12" ht="15" thickBot="1">
      <c r="A20" s="261" t="s">
        <v>294</v>
      </c>
      <c r="B20" s="52"/>
      <c r="C20" s="53"/>
      <c r="D20" s="52"/>
      <c r="E20" s="53"/>
      <c r="F20" s="52"/>
      <c r="G20" s="53"/>
      <c r="H20" s="52"/>
      <c r="I20" s="53"/>
      <c r="J20" s="54"/>
      <c r="K20" s="53"/>
      <c r="L20" s="55">
        <f t="shared" si="0"/>
        <v>0</v>
      </c>
    </row>
    <row r="21" spans="1:12" ht="15" thickBot="1">
      <c r="A21" s="261" t="s">
        <v>295</v>
      </c>
      <c r="B21" s="55">
        <f>SUM(B12:B20)</f>
        <v>33840</v>
      </c>
      <c r="C21" s="53"/>
      <c r="D21" s="55">
        <f>SUM(D12:D20)</f>
        <v>0</v>
      </c>
      <c r="E21" s="53"/>
      <c r="F21" s="55">
        <f>SUM(F12:F20)</f>
        <v>0</v>
      </c>
      <c r="G21" s="53"/>
      <c r="H21" s="55">
        <f>SUM(H12:H20)</f>
        <v>0</v>
      </c>
      <c r="I21" s="53"/>
      <c r="J21" s="55">
        <f>SUM(J12:J20)</f>
        <v>0</v>
      </c>
      <c r="K21" s="53"/>
      <c r="L21" s="55">
        <f>SUM(L12:L20)</f>
        <v>33840</v>
      </c>
    </row>
    <row r="22" spans="1:12" ht="14.25">
      <c r="A22" s="17"/>
      <c r="B22" s="57"/>
      <c r="C22" s="57"/>
      <c r="D22" s="58"/>
      <c r="E22" s="58"/>
      <c r="F22" s="58"/>
      <c r="G22" s="58"/>
      <c r="H22" s="58"/>
      <c r="I22" s="58"/>
      <c r="J22" s="58"/>
      <c r="K22" s="58"/>
      <c r="L22" s="58"/>
    </row>
    <row r="23" spans="1:12" ht="15" thickBot="1">
      <c r="A23" s="17" t="s">
        <v>39</v>
      </c>
      <c r="B23" s="127" t="s">
        <v>33</v>
      </c>
      <c r="C23" s="58"/>
      <c r="D23" s="59" t="s">
        <v>34</v>
      </c>
      <c r="E23" s="57"/>
      <c r="F23" s="59" t="s">
        <v>35</v>
      </c>
      <c r="G23" s="58"/>
      <c r="H23" s="59" t="s">
        <v>36</v>
      </c>
      <c r="I23" s="58"/>
      <c r="J23" s="59" t="s">
        <v>37</v>
      </c>
      <c r="K23" s="58"/>
      <c r="L23" s="59" t="s">
        <v>38</v>
      </c>
    </row>
    <row r="24" spans="1:12" ht="15" thickBot="1">
      <c r="A24" s="260" t="s">
        <v>296</v>
      </c>
      <c r="B24" s="52"/>
      <c r="C24" s="53"/>
      <c r="D24" s="52"/>
      <c r="E24" s="53"/>
      <c r="F24" s="52"/>
      <c r="G24" s="53"/>
      <c r="H24" s="52"/>
      <c r="I24" s="53"/>
      <c r="J24" s="54"/>
      <c r="K24" s="53"/>
      <c r="L24" s="55">
        <f>SUM(B24:J24)</f>
        <v>0</v>
      </c>
    </row>
    <row r="25" spans="1:12" ht="15" thickBot="1">
      <c r="A25" s="261" t="s">
        <v>297</v>
      </c>
      <c r="B25" s="56"/>
      <c r="C25" s="53"/>
      <c r="D25" s="56"/>
      <c r="E25" s="53"/>
      <c r="F25" s="56"/>
      <c r="G25" s="53"/>
      <c r="H25" s="56"/>
      <c r="I25" s="53"/>
      <c r="J25" s="54"/>
      <c r="K25" s="53"/>
      <c r="L25" s="55">
        <f>SUM(B25:J25)</f>
        <v>0</v>
      </c>
    </row>
    <row r="26" spans="1:12" ht="15" thickBot="1">
      <c r="A26" s="262" t="s">
        <v>40</v>
      </c>
      <c r="B26" s="60"/>
      <c r="C26" s="53"/>
      <c r="D26" s="60"/>
      <c r="E26" s="53"/>
      <c r="F26" s="60"/>
      <c r="G26" s="53"/>
      <c r="H26" s="60"/>
      <c r="I26" s="53"/>
      <c r="J26" s="54"/>
      <c r="K26" s="53"/>
      <c r="L26" s="55">
        <f>SUM(B26:J26)</f>
        <v>0</v>
      </c>
    </row>
    <row r="27" spans="1:12" ht="14.25" customHeight="1" thickBot="1">
      <c r="A27" s="261" t="s">
        <v>298</v>
      </c>
      <c r="B27" s="61">
        <f>SUM(B24:B26)</f>
        <v>0</v>
      </c>
      <c r="C27" s="53"/>
      <c r="D27" s="61">
        <f>SUM(D24:D26)</f>
        <v>0</v>
      </c>
      <c r="E27" s="53"/>
      <c r="F27" s="61">
        <f>SUM(F24:F26)</f>
        <v>0</v>
      </c>
      <c r="G27" s="53"/>
      <c r="H27" s="61">
        <f>SUM(H24:H26)</f>
        <v>0</v>
      </c>
      <c r="I27" s="53"/>
      <c r="J27" s="61">
        <f>SUM(J24:J26)</f>
        <v>0</v>
      </c>
      <c r="K27" s="53"/>
      <c r="L27" s="61">
        <f>SUM(L24:L26)</f>
        <v>0</v>
      </c>
    </row>
    <row r="28" spans="1:12" ht="15" thickBot="1">
      <c r="A28" s="261" t="s">
        <v>299</v>
      </c>
      <c r="B28" s="62">
        <f>B21+B27</f>
        <v>33840</v>
      </c>
      <c r="C28" s="53"/>
      <c r="D28" s="62">
        <f>D21+D27</f>
        <v>0</v>
      </c>
      <c r="E28" s="53"/>
      <c r="F28" s="62">
        <f>F21+F27</f>
        <v>0</v>
      </c>
      <c r="G28" s="53"/>
      <c r="H28" s="62">
        <f>H21+H27</f>
        <v>0</v>
      </c>
      <c r="I28" s="53"/>
      <c r="J28" s="62">
        <f>J21+J27</f>
        <v>0</v>
      </c>
      <c r="K28" s="53"/>
      <c r="L28" s="62">
        <f>L21+L27</f>
        <v>33840</v>
      </c>
    </row>
    <row r="29" spans="1:12" ht="14.25">
      <c r="A29" s="10"/>
      <c r="B29" s="10"/>
      <c r="C29" s="10"/>
      <c r="D29" s="10"/>
      <c r="E29" s="10"/>
      <c r="F29" s="10"/>
      <c r="G29" s="10"/>
      <c r="H29" s="10"/>
      <c r="I29" s="10"/>
      <c r="J29" s="10"/>
      <c r="K29" s="10"/>
      <c r="L29" s="10"/>
    </row>
    <row r="30" spans="1:12" ht="6.75" customHeight="1">
      <c r="A30" s="24"/>
      <c r="B30" s="23"/>
      <c r="C30" s="23"/>
      <c r="D30" s="23"/>
      <c r="E30" s="23"/>
      <c r="F30" s="23"/>
      <c r="G30" s="23"/>
      <c r="H30" s="23"/>
      <c r="I30" s="23"/>
      <c r="J30" s="23"/>
      <c r="K30" s="23"/>
      <c r="L30" s="23"/>
    </row>
    <row r="31" spans="1:12" ht="23.25" customHeight="1">
      <c r="A31" s="120" t="s">
        <v>247</v>
      </c>
      <c r="B31" s="119"/>
      <c r="C31" s="119"/>
      <c r="D31" s="119"/>
      <c r="E31" s="119"/>
      <c r="F31" s="119"/>
      <c r="G31" s="119"/>
      <c r="H31" s="119"/>
      <c r="I31" s="119"/>
      <c r="J31" s="119"/>
      <c r="K31" s="119"/>
      <c r="L31" s="119"/>
    </row>
    <row r="32" spans="1:12" ht="15" thickBot="1">
      <c r="A32" s="121" t="s">
        <v>193</v>
      </c>
      <c r="B32" s="128">
        <v>41640</v>
      </c>
      <c r="C32" s="122"/>
      <c r="D32" s="121" t="s">
        <v>194</v>
      </c>
      <c r="E32" s="122"/>
      <c r="F32" s="128">
        <v>42004</v>
      </c>
      <c r="G32" s="26"/>
      <c r="H32" s="26"/>
      <c r="I32" s="26"/>
      <c r="J32" s="26"/>
      <c r="K32" s="26"/>
      <c r="L32" s="26"/>
    </row>
    <row r="33" spans="1:12" ht="14.25">
      <c r="A33" s="126"/>
      <c r="B33" s="126"/>
      <c r="C33" s="126"/>
      <c r="D33" s="126"/>
      <c r="E33" s="126"/>
      <c r="F33" s="126"/>
      <c r="G33" s="126"/>
      <c r="H33" s="126"/>
      <c r="I33" s="126"/>
      <c r="J33" s="126"/>
      <c r="K33" s="126"/>
      <c r="L33" s="126"/>
    </row>
    <row r="34" spans="1:12" ht="14.25">
      <c r="A34" s="129"/>
      <c r="B34" s="124" t="s">
        <v>32</v>
      </c>
      <c r="C34" s="125"/>
      <c r="D34" s="25"/>
      <c r="E34" s="125"/>
      <c r="F34" s="125"/>
      <c r="G34" s="125"/>
      <c r="H34" s="125"/>
      <c r="I34" s="125"/>
      <c r="J34" s="125"/>
      <c r="K34" s="125"/>
      <c r="L34" s="125"/>
    </row>
    <row r="35" spans="1:12" ht="15" thickBot="1">
      <c r="A35" s="123" t="s">
        <v>31</v>
      </c>
      <c r="B35" s="19" t="s">
        <v>33</v>
      </c>
      <c r="C35" s="18"/>
      <c r="D35" s="19" t="s">
        <v>34</v>
      </c>
      <c r="E35" s="17"/>
      <c r="F35" s="19" t="s">
        <v>35</v>
      </c>
      <c r="G35" s="18"/>
      <c r="H35" s="19" t="s">
        <v>36</v>
      </c>
      <c r="I35" s="18"/>
      <c r="J35" s="19" t="s">
        <v>37</v>
      </c>
      <c r="K35" s="18"/>
      <c r="L35" s="19" t="s">
        <v>38</v>
      </c>
    </row>
    <row r="36" spans="1:12" ht="15" thickBot="1">
      <c r="A36" s="260" t="s">
        <v>286</v>
      </c>
      <c r="B36" s="52">
        <v>10980</v>
      </c>
      <c r="C36" s="53"/>
      <c r="D36" s="52"/>
      <c r="E36" s="53"/>
      <c r="F36" s="52"/>
      <c r="G36" s="53"/>
      <c r="H36" s="52"/>
      <c r="I36" s="53"/>
      <c r="J36" s="54"/>
      <c r="K36" s="53"/>
      <c r="L36" s="55">
        <f>SUM(B36:J36)</f>
        <v>10980</v>
      </c>
    </row>
    <row r="37" spans="1:12" ht="15" thickBot="1">
      <c r="A37" s="261" t="s">
        <v>287</v>
      </c>
      <c r="B37" s="52"/>
      <c r="C37" s="53"/>
      <c r="D37" s="52"/>
      <c r="E37" s="53"/>
      <c r="F37" s="52"/>
      <c r="G37" s="53"/>
      <c r="H37" s="52"/>
      <c r="I37" s="53"/>
      <c r="J37" s="54"/>
      <c r="K37" s="53"/>
      <c r="L37" s="55">
        <f aca="true" t="shared" si="1" ref="L37:L44">SUM(B37:J37)</f>
        <v>0</v>
      </c>
    </row>
    <row r="38" spans="1:12" ht="15" thickBot="1">
      <c r="A38" s="261" t="s">
        <v>288</v>
      </c>
      <c r="B38" s="52"/>
      <c r="C38" s="53"/>
      <c r="D38" s="52"/>
      <c r="E38" s="53"/>
      <c r="F38" s="52"/>
      <c r="G38" s="53"/>
      <c r="H38" s="52"/>
      <c r="I38" s="53"/>
      <c r="J38" s="54"/>
      <c r="K38" s="53"/>
      <c r="L38" s="55">
        <f t="shared" si="1"/>
        <v>0</v>
      </c>
    </row>
    <row r="39" spans="1:12" ht="15" thickBot="1">
      <c r="A39" s="261" t="s">
        <v>289</v>
      </c>
      <c r="B39" s="52"/>
      <c r="C39" s="53"/>
      <c r="D39" s="52"/>
      <c r="E39" s="53"/>
      <c r="F39" s="52"/>
      <c r="G39" s="53"/>
      <c r="H39" s="52"/>
      <c r="I39" s="53"/>
      <c r="J39" s="54"/>
      <c r="K39" s="53"/>
      <c r="L39" s="55">
        <f t="shared" si="1"/>
        <v>0</v>
      </c>
    </row>
    <row r="40" spans="1:12" ht="15" thickBot="1">
      <c r="A40" s="261" t="s">
        <v>290</v>
      </c>
      <c r="B40" s="52"/>
      <c r="C40" s="53"/>
      <c r="D40" s="52"/>
      <c r="E40" s="53"/>
      <c r="F40" s="52"/>
      <c r="G40" s="53"/>
      <c r="H40" s="52"/>
      <c r="I40" s="53"/>
      <c r="J40" s="54"/>
      <c r="K40" s="53"/>
      <c r="L40" s="55">
        <f t="shared" si="1"/>
        <v>0</v>
      </c>
    </row>
    <row r="41" spans="1:12" ht="15" thickBot="1">
      <c r="A41" s="261" t="s">
        <v>291</v>
      </c>
      <c r="B41" s="56"/>
      <c r="C41" s="53"/>
      <c r="D41" s="56"/>
      <c r="E41" s="53"/>
      <c r="F41" s="56"/>
      <c r="G41" s="53"/>
      <c r="H41" s="56"/>
      <c r="I41" s="53"/>
      <c r="J41" s="54"/>
      <c r="K41" s="53"/>
      <c r="L41" s="55">
        <f t="shared" si="1"/>
        <v>0</v>
      </c>
    </row>
    <row r="42" spans="1:12" ht="15" thickBot="1">
      <c r="A42" s="261" t="s">
        <v>292</v>
      </c>
      <c r="B42" s="54">
        <f>465*12</f>
        <v>5580</v>
      </c>
      <c r="C42" s="53"/>
      <c r="D42" s="54"/>
      <c r="E42" s="53"/>
      <c r="F42" s="54"/>
      <c r="G42" s="53"/>
      <c r="H42" s="54"/>
      <c r="I42" s="53"/>
      <c r="J42" s="54"/>
      <c r="K42" s="53"/>
      <c r="L42" s="55">
        <f t="shared" si="1"/>
        <v>5580</v>
      </c>
    </row>
    <row r="43" spans="1:12" ht="15" thickBot="1">
      <c r="A43" s="261" t="s">
        <v>293</v>
      </c>
      <c r="B43" s="52">
        <v>360</v>
      </c>
      <c r="C43" s="53"/>
      <c r="D43" s="52"/>
      <c r="E43" s="53"/>
      <c r="F43" s="52"/>
      <c r="G43" s="53"/>
      <c r="H43" s="52"/>
      <c r="I43" s="53"/>
      <c r="J43" s="54"/>
      <c r="K43" s="53"/>
      <c r="L43" s="55">
        <f t="shared" si="1"/>
        <v>360</v>
      </c>
    </row>
    <row r="44" spans="1:12" ht="15" thickBot="1">
      <c r="A44" s="261" t="s">
        <v>294</v>
      </c>
      <c r="B44" s="52"/>
      <c r="C44" s="53"/>
      <c r="D44" s="52"/>
      <c r="E44" s="53"/>
      <c r="F44" s="52"/>
      <c r="G44" s="53"/>
      <c r="H44" s="52"/>
      <c r="I44" s="53"/>
      <c r="J44" s="54"/>
      <c r="K44" s="53"/>
      <c r="L44" s="55">
        <f t="shared" si="1"/>
        <v>0</v>
      </c>
    </row>
    <row r="45" spans="1:12" ht="15" thickBot="1">
      <c r="A45" s="261" t="s">
        <v>295</v>
      </c>
      <c r="B45" s="55">
        <f>SUM(B36:B44)</f>
        <v>16920</v>
      </c>
      <c r="C45" s="53"/>
      <c r="D45" s="55">
        <f>SUM(D36:D44)</f>
        <v>0</v>
      </c>
      <c r="E45" s="53"/>
      <c r="F45" s="55">
        <f>SUM(F36:F44)</f>
        <v>0</v>
      </c>
      <c r="G45" s="53"/>
      <c r="H45" s="55">
        <f>SUM(H36:H44)</f>
        <v>0</v>
      </c>
      <c r="I45" s="53"/>
      <c r="J45" s="55">
        <f>SUM(J36:J44)</f>
        <v>0</v>
      </c>
      <c r="K45" s="53"/>
      <c r="L45" s="55">
        <f>SUM(L36:L44)</f>
        <v>16920</v>
      </c>
    </row>
    <row r="46" spans="1:12" ht="14.25">
      <c r="A46" s="17"/>
      <c r="B46" s="57"/>
      <c r="C46" s="57"/>
      <c r="D46" s="58"/>
      <c r="E46" s="58"/>
      <c r="F46" s="58"/>
      <c r="G46" s="58"/>
      <c r="H46" s="58"/>
      <c r="I46" s="58"/>
      <c r="J46" s="58"/>
      <c r="K46" s="58"/>
      <c r="L46" s="58"/>
    </row>
    <row r="47" spans="1:12" ht="15" thickBot="1">
      <c r="A47" s="17" t="s">
        <v>39</v>
      </c>
      <c r="B47" s="19" t="s">
        <v>33</v>
      </c>
      <c r="C47" s="58"/>
      <c r="D47" s="59" t="s">
        <v>34</v>
      </c>
      <c r="E47" s="57"/>
      <c r="F47" s="59" t="s">
        <v>35</v>
      </c>
      <c r="G47" s="58"/>
      <c r="H47" s="59" t="s">
        <v>36</v>
      </c>
      <c r="I47" s="58"/>
      <c r="J47" s="59" t="s">
        <v>37</v>
      </c>
      <c r="K47" s="58"/>
      <c r="L47" s="59" t="s">
        <v>38</v>
      </c>
    </row>
    <row r="48" spans="1:12" ht="15" thickBot="1">
      <c r="A48" s="260" t="s">
        <v>296</v>
      </c>
      <c r="B48" s="52"/>
      <c r="C48" s="53"/>
      <c r="D48" s="52"/>
      <c r="E48" s="53"/>
      <c r="F48" s="52"/>
      <c r="G48" s="53"/>
      <c r="H48" s="52"/>
      <c r="I48" s="53"/>
      <c r="J48" s="54"/>
      <c r="K48" s="53"/>
      <c r="L48" s="55">
        <f>SUM(B48:J48)</f>
        <v>0</v>
      </c>
    </row>
    <row r="49" spans="1:12" ht="15" thickBot="1">
      <c r="A49" s="261" t="s">
        <v>297</v>
      </c>
      <c r="B49" s="56"/>
      <c r="C49" s="53"/>
      <c r="D49" s="56"/>
      <c r="E49" s="53"/>
      <c r="F49" s="56"/>
      <c r="G49" s="53"/>
      <c r="H49" s="56"/>
      <c r="I49" s="53"/>
      <c r="J49" s="54"/>
      <c r="K49" s="53"/>
      <c r="L49" s="55">
        <f>SUM(B49:J49)</f>
        <v>0</v>
      </c>
    </row>
    <row r="50" spans="1:12" ht="15" thickBot="1">
      <c r="A50" s="262" t="s">
        <v>40</v>
      </c>
      <c r="B50" s="60"/>
      <c r="C50" s="53"/>
      <c r="D50" s="60"/>
      <c r="E50" s="53"/>
      <c r="F50" s="60"/>
      <c r="G50" s="53"/>
      <c r="H50" s="60"/>
      <c r="I50" s="53"/>
      <c r="J50" s="54"/>
      <c r="K50" s="53"/>
      <c r="L50" s="55">
        <f>SUM(B50:J50)</f>
        <v>0</v>
      </c>
    </row>
    <row r="51" spans="1:12" ht="18" customHeight="1" thickBot="1">
      <c r="A51" s="261" t="s">
        <v>298</v>
      </c>
      <c r="B51" s="61">
        <f>SUM(B48:B50)</f>
        <v>0</v>
      </c>
      <c r="C51" s="53"/>
      <c r="D51" s="61">
        <f>SUM(D48:D50)</f>
        <v>0</v>
      </c>
      <c r="E51" s="53"/>
      <c r="F51" s="61">
        <f>SUM(F48:F50)</f>
        <v>0</v>
      </c>
      <c r="G51" s="53"/>
      <c r="H51" s="61">
        <f>SUM(H48:H50)</f>
        <v>0</v>
      </c>
      <c r="I51" s="53"/>
      <c r="J51" s="61">
        <f>SUM(J48:J50)</f>
        <v>0</v>
      </c>
      <c r="K51" s="53"/>
      <c r="L51" s="61">
        <f>SUM(L48:L50)</f>
        <v>0</v>
      </c>
    </row>
    <row r="52" spans="1:12" ht="15" thickBot="1">
      <c r="A52" s="261" t="s">
        <v>299</v>
      </c>
      <c r="B52" s="62">
        <f>B45+B51</f>
        <v>16920</v>
      </c>
      <c r="C52" s="53"/>
      <c r="D52" s="62">
        <f>D45+D51</f>
        <v>0</v>
      </c>
      <c r="E52" s="53"/>
      <c r="F52" s="62">
        <f>F45+F51</f>
        <v>0</v>
      </c>
      <c r="G52" s="53"/>
      <c r="H52" s="62">
        <f>H45+H51</f>
        <v>0</v>
      </c>
      <c r="I52" s="53"/>
      <c r="J52" s="62">
        <f>J45+J51</f>
        <v>0</v>
      </c>
      <c r="K52" s="53"/>
      <c r="L52" s="62">
        <f>L45+L51</f>
        <v>16920</v>
      </c>
    </row>
    <row r="53" spans="1:12" ht="14.25">
      <c r="A53" s="10"/>
      <c r="B53" s="10"/>
      <c r="C53" s="10"/>
      <c r="D53" s="10"/>
      <c r="E53" s="10"/>
      <c r="F53" s="10"/>
      <c r="G53" s="10"/>
      <c r="H53" s="10"/>
      <c r="I53" s="10"/>
      <c r="J53" s="10"/>
      <c r="K53" s="10"/>
      <c r="L53" s="10"/>
    </row>
    <row r="54" spans="1:12" ht="6" customHeight="1">
      <c r="A54" s="1"/>
      <c r="B54" s="23"/>
      <c r="C54" s="23"/>
      <c r="D54" s="23"/>
      <c r="E54" s="23"/>
      <c r="F54" s="23"/>
      <c r="G54" s="23"/>
      <c r="H54" s="23"/>
      <c r="I54" s="23"/>
      <c r="J54" s="23"/>
      <c r="K54" s="23"/>
      <c r="L54" s="23"/>
    </row>
    <row r="55" spans="1:12" ht="18" thickBot="1">
      <c r="A55" s="120" t="s">
        <v>246</v>
      </c>
      <c r="B55" s="119"/>
      <c r="C55" s="119"/>
      <c r="D55" s="119"/>
      <c r="E55" s="119"/>
      <c r="F55" s="119"/>
      <c r="G55" s="119"/>
      <c r="H55" s="119"/>
      <c r="I55" s="119"/>
      <c r="J55" s="119"/>
      <c r="K55" s="119"/>
      <c r="L55" s="119"/>
    </row>
    <row r="56" spans="1:12" ht="14.25">
      <c r="A56" s="126"/>
      <c r="B56" s="126"/>
      <c r="C56" s="126"/>
      <c r="D56" s="126"/>
      <c r="E56" s="126"/>
      <c r="F56" s="126"/>
      <c r="G56" s="126"/>
      <c r="H56" s="126"/>
      <c r="I56" s="126"/>
      <c r="J56" s="126"/>
      <c r="K56" s="126"/>
      <c r="L56" s="126"/>
    </row>
    <row r="57" spans="1:12" ht="14.25">
      <c r="A57" s="129"/>
      <c r="B57" s="124" t="s">
        <v>32</v>
      </c>
      <c r="C57" s="125"/>
      <c r="D57" s="25"/>
      <c r="E57" s="125"/>
      <c r="F57" s="125"/>
      <c r="G57" s="125"/>
      <c r="H57" s="125"/>
      <c r="I57" s="125"/>
      <c r="J57" s="125"/>
      <c r="K57" s="125"/>
      <c r="L57" s="125"/>
    </row>
    <row r="58" spans="1:12" ht="15" thickBot="1">
      <c r="A58" s="123" t="s">
        <v>249</v>
      </c>
      <c r="B58" s="19" t="s">
        <v>33</v>
      </c>
      <c r="C58" s="18"/>
      <c r="D58" s="19" t="s">
        <v>34</v>
      </c>
      <c r="E58" s="17"/>
      <c r="F58" s="19" t="s">
        <v>35</v>
      </c>
      <c r="G58" s="18"/>
      <c r="H58" s="19" t="s">
        <v>36</v>
      </c>
      <c r="I58" s="18"/>
      <c r="J58" s="19" t="s">
        <v>37</v>
      </c>
      <c r="K58" s="18"/>
      <c r="L58" s="19" t="s">
        <v>38</v>
      </c>
    </row>
    <row r="59" spans="1:12" ht="15" thickBot="1">
      <c r="A59" s="263" t="s">
        <v>250</v>
      </c>
      <c r="B59" s="55">
        <f>SUM(B12:B17,B24:B25)</f>
        <v>25920</v>
      </c>
      <c r="C59" s="53"/>
      <c r="D59" s="55">
        <f>SUM(D12:D17,D24:D25)</f>
        <v>0</v>
      </c>
      <c r="E59" s="53"/>
      <c r="F59" s="55">
        <f>SUM(F12:F17,F24:F25)</f>
        <v>0</v>
      </c>
      <c r="G59" s="53"/>
      <c r="H59" s="55">
        <f>SUM(H12:H17,H24:H25)</f>
        <v>0</v>
      </c>
      <c r="I59" s="53"/>
      <c r="J59" s="55">
        <f>SUM(J12:J17,J24:J25)</f>
        <v>0</v>
      </c>
      <c r="K59" s="53"/>
      <c r="L59" s="55">
        <f>SUM(L12:L17,L24:L25)</f>
        <v>25920</v>
      </c>
    </row>
    <row r="60" spans="1:12" ht="15" thickBot="1">
      <c r="A60" s="264" t="s">
        <v>251</v>
      </c>
      <c r="B60" s="55">
        <f>B28</f>
        <v>33840</v>
      </c>
      <c r="C60" s="53"/>
      <c r="D60" s="55">
        <f>D28</f>
        <v>0</v>
      </c>
      <c r="E60" s="53"/>
      <c r="F60" s="55">
        <f>F28</f>
        <v>0</v>
      </c>
      <c r="G60" s="53"/>
      <c r="H60" s="55">
        <f>H28</f>
        <v>0</v>
      </c>
      <c r="I60" s="53"/>
      <c r="J60" s="55">
        <f>J28</f>
        <v>0</v>
      </c>
      <c r="K60" s="53"/>
      <c r="L60" s="55">
        <f>L28</f>
        <v>33840</v>
      </c>
    </row>
    <row r="61" spans="1:12" ht="15" thickBot="1">
      <c r="A61" s="265" t="s">
        <v>253</v>
      </c>
      <c r="B61" s="215">
        <f>IF(B60=0,"",B59/B60)</f>
        <v>0.7659574468085106</v>
      </c>
      <c r="C61" s="53"/>
      <c r="D61" s="215">
        <f>IF(D60=0,"",D59/D60)</f>
      </c>
      <c r="E61" s="53"/>
      <c r="F61" s="215">
        <f>IF(F60=0,"",F59/F60)</f>
      </c>
      <c r="G61" s="53"/>
      <c r="H61" s="215">
        <f>IF(H60=0,"",H59/H60)</f>
      </c>
      <c r="I61" s="53"/>
      <c r="J61" s="215">
        <f>IF(J60=0,"",J59/J60)</f>
      </c>
      <c r="K61" s="53"/>
      <c r="L61" s="215">
        <f>IF(L60=0,"",L59/L60)</f>
        <v>0.7659574468085106</v>
      </c>
    </row>
    <row r="63" ht="14.25">
      <c r="A63" s="123" t="s">
        <v>252</v>
      </c>
    </row>
    <row r="64" spans="1:12" ht="15" thickBot="1">
      <c r="A64" s="266" t="s">
        <v>254</v>
      </c>
      <c r="B64" s="55">
        <f>SUM(B36:B41,B48:B49)</f>
        <v>10980</v>
      </c>
      <c r="C64" s="53"/>
      <c r="D64" s="55">
        <f>SUM(D36:D41,D48:D49)</f>
        <v>0</v>
      </c>
      <c r="E64" s="53"/>
      <c r="F64" s="55">
        <f>SUM(F36:F41,F48:F49)</f>
        <v>0</v>
      </c>
      <c r="G64" s="53"/>
      <c r="H64" s="55">
        <f>SUM(H36:H41,H48:H49)</f>
        <v>0</v>
      </c>
      <c r="I64" s="53"/>
      <c r="J64" s="55">
        <f>SUM(J36:J41,J48:J49)</f>
        <v>0</v>
      </c>
      <c r="K64" s="53"/>
      <c r="L64" s="55">
        <f>SUM(L36:L41,L48:L49)</f>
        <v>10980</v>
      </c>
    </row>
    <row r="65" spans="1:12" ht="15" thickBot="1">
      <c r="A65" s="265" t="s">
        <v>255</v>
      </c>
      <c r="B65" s="55">
        <f>B52</f>
        <v>16920</v>
      </c>
      <c r="C65" s="53"/>
      <c r="D65" s="55">
        <f>D52</f>
        <v>0</v>
      </c>
      <c r="E65" s="53"/>
      <c r="F65" s="55">
        <f>F52</f>
        <v>0</v>
      </c>
      <c r="G65" s="53"/>
      <c r="H65" s="55">
        <f>H52</f>
        <v>0</v>
      </c>
      <c r="I65" s="53"/>
      <c r="J65" s="55">
        <f>J52</f>
        <v>0</v>
      </c>
      <c r="K65" s="53"/>
      <c r="L65" s="55">
        <f>L52</f>
        <v>16920</v>
      </c>
    </row>
    <row r="66" spans="1:12" ht="15" thickBot="1">
      <c r="A66" s="265" t="s">
        <v>256</v>
      </c>
      <c r="B66" s="215">
        <f>IF(B65=0,"",B64/B65)</f>
        <v>0.648936170212766</v>
      </c>
      <c r="C66" s="53"/>
      <c r="D66" s="215">
        <f>IF(D65=0,"",D64/D65)</f>
      </c>
      <c r="E66" s="53"/>
      <c r="F66" s="215">
        <f>IF(F65=0,"",F64/F65)</f>
      </c>
      <c r="H66" s="215">
        <f>IF(H65=0,"",H64/H65)</f>
      </c>
      <c r="I66" s="53"/>
      <c r="J66" s="215">
        <f>IF(J65=0,"",J64/J65)</f>
      </c>
      <c r="K66" s="53"/>
      <c r="L66" s="215">
        <f>IF(L65=0,"",L64/L65)</f>
        <v>0.648936170212766</v>
      </c>
    </row>
    <row r="67" ht="6" customHeight="1"/>
    <row r="68" spans="1:12" ht="20.25" customHeight="1">
      <c r="A68" s="318" t="s">
        <v>284</v>
      </c>
      <c r="B68" s="319"/>
      <c r="C68" s="319"/>
      <c r="D68" s="319"/>
      <c r="E68" s="319"/>
      <c r="F68" s="319"/>
      <c r="G68" s="319"/>
      <c r="H68" s="319"/>
      <c r="I68" s="319"/>
      <c r="J68" s="319"/>
      <c r="K68" s="319"/>
      <c r="L68" s="319"/>
    </row>
    <row r="69" spans="1:12" ht="88.5" customHeight="1">
      <c r="A69" s="320" t="s">
        <v>285</v>
      </c>
      <c r="B69" s="320"/>
      <c r="C69" s="320"/>
      <c r="D69" s="320"/>
      <c r="E69" s="320"/>
      <c r="F69" s="320"/>
      <c r="G69" s="320"/>
      <c r="H69" s="320"/>
      <c r="I69" s="320"/>
      <c r="J69" s="320"/>
      <c r="K69" s="320"/>
      <c r="L69" s="320"/>
    </row>
    <row r="70" spans="1:4" ht="21">
      <c r="A70" s="22" t="s">
        <v>304</v>
      </c>
      <c r="D70" s="269" t="s">
        <v>305</v>
      </c>
    </row>
  </sheetData>
  <sheetProtection/>
  <mergeCells count="4">
    <mergeCell ref="A3:L3"/>
    <mergeCell ref="A5:L5"/>
    <mergeCell ref="A68:L68"/>
    <mergeCell ref="A69:L69"/>
  </mergeCells>
  <conditionalFormatting sqref="A68:L69">
    <cfRule type="expression" priority="1" dxfId="10">
      <formula>($L$66&lt;$L$61)</formula>
    </cfRule>
  </conditionalFormatting>
  <printOptions/>
  <pageMargins left="0.7" right="0.7" top="0.31" bottom="0.51" header="0.3" footer="0.3"/>
  <pageSetup fitToHeight="1" fitToWidth="1" horizontalDpi="600" verticalDpi="600" orientation="portrait" scale="62" r:id="rId1"/>
  <headerFooter>
    <oddFooter>&amp;CPage 4</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35"/>
  <sheetViews>
    <sheetView zoomScale="75" zoomScaleNormal="75" zoomScalePageLayoutView="0" workbookViewId="0" topLeftCell="A1">
      <selection activeCell="A2" sqref="A2"/>
    </sheetView>
  </sheetViews>
  <sheetFormatPr defaultColWidth="9.140625" defaultRowHeight="15"/>
  <cols>
    <col min="1" max="1" width="62.57421875" style="0" customWidth="1"/>
    <col min="2" max="3" width="15.7109375" style="0" customWidth="1"/>
  </cols>
  <sheetData>
    <row r="1" spans="1:3" ht="24.75" thickBot="1">
      <c r="A1" s="115" t="s">
        <v>199</v>
      </c>
      <c r="B1" s="116"/>
      <c r="C1" s="117"/>
    </row>
    <row r="2" ht="21">
      <c r="A2" s="22" t="s">
        <v>304</v>
      </c>
    </row>
    <row r="3" spans="1:3" ht="33" customHeight="1">
      <c r="A3" s="310" t="s">
        <v>41</v>
      </c>
      <c r="B3" s="311"/>
      <c r="C3" s="311"/>
    </row>
    <row r="4" ht="14.25">
      <c r="A4" s="1"/>
    </row>
    <row r="5" spans="1:3" ht="20.25" customHeight="1">
      <c r="A5" s="310" t="s">
        <v>42</v>
      </c>
      <c r="B5" s="311"/>
      <c r="C5" s="311"/>
    </row>
    <row r="6" spans="1:3" ht="15" customHeight="1">
      <c r="A6" s="234"/>
      <c r="B6" s="235"/>
      <c r="C6" s="235"/>
    </row>
    <row r="7" spans="1:3" ht="47.25" customHeight="1">
      <c r="A7" s="312" t="s">
        <v>257</v>
      </c>
      <c r="B7" s="311"/>
      <c r="C7" s="311"/>
    </row>
    <row r="8" ht="14.25">
      <c r="A8" s="1"/>
    </row>
    <row r="9" spans="1:3" ht="33.75" customHeight="1">
      <c r="A9" s="310" t="s">
        <v>43</v>
      </c>
      <c r="B9" s="311"/>
      <c r="C9" s="311"/>
    </row>
    <row r="10" ht="14.25">
      <c r="A10" s="1"/>
    </row>
    <row r="11" spans="1:3" ht="15" thickBot="1">
      <c r="A11" s="104" t="s">
        <v>44</v>
      </c>
      <c r="C11" s="131">
        <v>1000000</v>
      </c>
    </row>
    <row r="12" spans="1:3" ht="15" thickBot="1">
      <c r="A12" s="104" t="s">
        <v>45</v>
      </c>
      <c r="C12" s="131">
        <v>500000</v>
      </c>
    </row>
    <row r="13" spans="1:3" ht="15" thickBot="1">
      <c r="A13" s="104" t="s">
        <v>46</v>
      </c>
      <c r="C13" s="132">
        <v>0.045</v>
      </c>
    </row>
    <row r="14" spans="1:2" ht="15">
      <c r="A14" s="3"/>
      <c r="B14" s="3"/>
    </row>
    <row r="15" ht="14.25">
      <c r="A15" s="1"/>
    </row>
    <row r="16" ht="17.25">
      <c r="A16" s="216" t="s">
        <v>258</v>
      </c>
    </row>
    <row r="17" spans="1:6" ht="15" thickBot="1">
      <c r="A17" s="1"/>
      <c r="F17" s="68"/>
    </row>
    <row r="18" spans="1:3" ht="71.25" customHeight="1" thickBot="1">
      <c r="A18" s="218" t="s">
        <v>260</v>
      </c>
      <c r="B18" s="161" t="s">
        <v>47</v>
      </c>
      <c r="C18" s="161" t="s">
        <v>48</v>
      </c>
    </row>
    <row r="19" spans="1:3" ht="15" thickBot="1">
      <c r="A19" s="133" t="s">
        <v>49</v>
      </c>
      <c r="B19" s="162"/>
      <c r="C19" s="162"/>
    </row>
    <row r="20" spans="1:3" ht="15" thickBot="1">
      <c r="A20" s="133" t="s">
        <v>50</v>
      </c>
      <c r="B20" s="162"/>
      <c r="C20" s="162"/>
    </row>
    <row r="21" spans="1:3" ht="15" thickBot="1">
      <c r="A21" s="133" t="s">
        <v>51</v>
      </c>
      <c r="B21" s="162"/>
      <c r="C21" s="162"/>
    </row>
    <row r="22" spans="1:3" ht="15" thickBot="1">
      <c r="A22" s="133" t="s">
        <v>52</v>
      </c>
      <c r="B22" s="162"/>
      <c r="C22" s="162"/>
    </row>
    <row r="23" spans="1:3" ht="15" thickBot="1">
      <c r="A23" s="133"/>
      <c r="B23" s="267"/>
      <c r="C23" s="267"/>
    </row>
    <row r="24" spans="1:3" ht="18" thickBot="1">
      <c r="A24" s="217" t="s">
        <v>259</v>
      </c>
      <c r="B24" s="267"/>
      <c r="C24" s="267"/>
    </row>
    <row r="25" spans="1:3" ht="15" thickBot="1">
      <c r="A25" s="133" t="s">
        <v>53</v>
      </c>
      <c r="B25" s="163">
        <v>165</v>
      </c>
      <c r="C25" s="163">
        <v>175</v>
      </c>
    </row>
    <row r="26" spans="1:3" ht="15" thickBot="1">
      <c r="A26" s="133" t="s">
        <v>261</v>
      </c>
      <c r="B26" s="163"/>
      <c r="C26" s="163"/>
    </row>
    <row r="27" ht="14.25">
      <c r="A27" s="1"/>
    </row>
    <row r="28" spans="1:3" ht="36" customHeight="1">
      <c r="A28" s="310" t="s">
        <v>262</v>
      </c>
      <c r="B28" s="311"/>
      <c r="C28" s="311"/>
    </row>
    <row r="29" spans="1:3" ht="46.5" customHeight="1">
      <c r="A29" s="310" t="s">
        <v>300</v>
      </c>
      <c r="B29" s="311"/>
      <c r="C29" s="311"/>
    </row>
    <row r="30" ht="14.25">
      <c r="A30" s="1"/>
    </row>
    <row r="31" spans="1:3" ht="15.75" customHeight="1" thickBot="1">
      <c r="A31" s="220" t="s">
        <v>263</v>
      </c>
      <c r="B31" s="219"/>
      <c r="C31" s="131">
        <v>75900</v>
      </c>
    </row>
    <row r="32" ht="14.25">
      <c r="A32" s="1"/>
    </row>
    <row r="33" spans="1:3" ht="14.25">
      <c r="A33" s="310" t="s">
        <v>54</v>
      </c>
      <c r="B33" s="311"/>
      <c r="C33" s="311"/>
    </row>
    <row r="35" ht="17.25">
      <c r="A35" s="269" t="s">
        <v>305</v>
      </c>
    </row>
  </sheetData>
  <sheetProtection/>
  <mergeCells count="7">
    <mergeCell ref="A33:C33"/>
    <mergeCell ref="A3:C3"/>
    <mergeCell ref="A5:C5"/>
    <mergeCell ref="A7:C7"/>
    <mergeCell ref="A9:C9"/>
    <mergeCell ref="A28:C28"/>
    <mergeCell ref="A29:C29"/>
  </mergeCells>
  <printOptions/>
  <pageMargins left="0.7" right="0.7" top="0.3" bottom="0.49" header="0.3" footer="0.3"/>
  <pageSetup fitToHeight="1" fitToWidth="1" horizontalDpi="600" verticalDpi="600" orientation="portrait" scale="96" r:id="rId1"/>
  <headerFooter>
    <oddFooter>&amp;CPage 5</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H41"/>
  <sheetViews>
    <sheetView zoomScale="75" zoomScaleNormal="75" zoomScalePageLayoutView="0" workbookViewId="0" topLeftCell="A1">
      <selection activeCell="A2" sqref="A2"/>
    </sheetView>
  </sheetViews>
  <sheetFormatPr defaultColWidth="9.140625" defaultRowHeight="15"/>
  <cols>
    <col min="1" max="1" width="35.140625" style="16" customWidth="1"/>
    <col min="2" max="7" width="9.140625" style="16" customWidth="1"/>
    <col min="8" max="8" width="15.8515625" style="16" customWidth="1"/>
    <col min="9" max="16384" width="9.140625" style="16" customWidth="1"/>
  </cols>
  <sheetData>
    <row r="1" spans="1:8" ht="35.25" customHeight="1" thickBot="1">
      <c r="A1" s="115" t="s">
        <v>198</v>
      </c>
      <c r="B1" s="207"/>
      <c r="C1" s="207"/>
      <c r="D1" s="207"/>
      <c r="E1" s="207"/>
      <c r="F1" s="207"/>
      <c r="G1" s="207"/>
      <c r="H1" s="208"/>
    </row>
    <row r="2" ht="21">
      <c r="A2" s="22" t="s">
        <v>304</v>
      </c>
    </row>
    <row r="3" spans="1:8" ht="61.5" customHeight="1">
      <c r="A3" s="312" t="s">
        <v>264</v>
      </c>
      <c r="B3" s="310"/>
      <c r="C3" s="310"/>
      <c r="D3" s="310"/>
      <c r="E3" s="310"/>
      <c r="F3" s="310"/>
      <c r="G3" s="310"/>
      <c r="H3" s="310"/>
    </row>
    <row r="4" spans="1:7" ht="13.5">
      <c r="A4" s="20"/>
      <c r="C4" s="240"/>
      <c r="G4" s="30"/>
    </row>
    <row r="5" spans="1:8" ht="14.25" thickBot="1">
      <c r="A5" s="221" t="s">
        <v>301</v>
      </c>
      <c r="H5" s="268">
        <f>1-H6</f>
        <v>0.15000000000000002</v>
      </c>
    </row>
    <row r="6" spans="1:8" ht="14.25" thickBot="1">
      <c r="A6" s="221" t="s">
        <v>302</v>
      </c>
      <c r="H6" s="210">
        <v>0.85</v>
      </c>
    </row>
    <row r="7" ht="13.5">
      <c r="A7" s="20"/>
    </row>
    <row r="8" spans="1:8" ht="13.5">
      <c r="A8" s="222" t="s">
        <v>265</v>
      </c>
      <c r="F8" s="209"/>
      <c r="H8" s="72"/>
    </row>
    <row r="9" spans="1:8" ht="13.5">
      <c r="A9" s="67" t="s">
        <v>55</v>
      </c>
      <c r="H9" s="223">
        <f>'Cost Analysis'!C43</f>
        <v>94.9437673437925</v>
      </c>
    </row>
    <row r="10" spans="1:8" ht="13.5">
      <c r="A10" s="67" t="s">
        <v>56</v>
      </c>
      <c r="H10" s="223">
        <f>'Cost Analysis'!C44</f>
        <v>12.494243221184364</v>
      </c>
    </row>
    <row r="11" spans="1:8" ht="13.5">
      <c r="A11" s="70"/>
      <c r="H11" s="213"/>
    </row>
    <row r="12" spans="1:8" ht="13.5">
      <c r="A12" s="66" t="s">
        <v>57</v>
      </c>
      <c r="F12" s="30"/>
      <c r="H12" s="214"/>
    </row>
    <row r="13" spans="1:8" ht="13.5">
      <c r="A13" s="135" t="s">
        <v>129</v>
      </c>
      <c r="H13" s="223">
        <f>'Cost Analysis'!C35</f>
        <v>165</v>
      </c>
    </row>
    <row r="14" spans="1:8" ht="13.5">
      <c r="A14" s="67" t="s">
        <v>58</v>
      </c>
      <c r="H14" s="223">
        <f>'Cost Analysis'!C37</f>
        <v>32.901480460920915</v>
      </c>
    </row>
    <row r="15" spans="1:8" ht="13.5">
      <c r="A15" s="67" t="s">
        <v>59</v>
      </c>
      <c r="H15" s="223">
        <f>'Cost Analysis'!C36</f>
        <v>14.04459975619666</v>
      </c>
    </row>
    <row r="16" ht="13.5">
      <c r="A16" s="70"/>
    </row>
    <row r="17" ht="15">
      <c r="A17" s="136" t="s">
        <v>197</v>
      </c>
    </row>
    <row r="18" spans="1:8" ht="14.25">
      <c r="A18" s="69"/>
      <c r="H18" s="205" t="s">
        <v>61</v>
      </c>
    </row>
    <row r="19" ht="13.5">
      <c r="A19" s="206" t="s">
        <v>60</v>
      </c>
    </row>
    <row r="20" spans="1:8" ht="13.5">
      <c r="A20" s="67" t="s">
        <v>62</v>
      </c>
      <c r="H20" s="224">
        <f>12*'Cost Analysis'!C53</f>
        <v>-214200</v>
      </c>
    </row>
    <row r="21" spans="1:8" ht="13.5">
      <c r="A21" s="135" t="s">
        <v>195</v>
      </c>
      <c r="H21" s="224">
        <f>12*'Cost Analysis'!C54</f>
        <v>4276800</v>
      </c>
    </row>
    <row r="22" spans="1:8" ht="13.5">
      <c r="A22" s="71" t="s">
        <v>63</v>
      </c>
      <c r="H22" s="224">
        <f>12*'Cost Analysis'!C55</f>
        <v>-852806.3735470702</v>
      </c>
    </row>
    <row r="23" spans="1:8" ht="13.5">
      <c r="A23" s="71" t="s">
        <v>64</v>
      </c>
      <c r="H23" s="224">
        <f>12*'Cost Analysis'!C56</f>
        <v>364036.02568061743</v>
      </c>
    </row>
    <row r="24" spans="1:8" ht="14.25" thickBot="1">
      <c r="A24" s="135" t="s">
        <v>70</v>
      </c>
      <c r="H24" s="225">
        <f>12*'Cost Analysis'!C57</f>
        <v>-2272817.7912801285</v>
      </c>
    </row>
    <row r="25" spans="1:8" ht="14.25" thickBot="1">
      <c r="A25" s="67" t="s">
        <v>65</v>
      </c>
      <c r="H25" s="226">
        <f>SUM(H20:H24)</f>
        <v>1301011.8608534187</v>
      </c>
    </row>
    <row r="26" spans="1:8" ht="14.25" thickTop="1">
      <c r="A26" s="70"/>
      <c r="H26" s="211"/>
    </row>
    <row r="27" spans="1:8" ht="13.5">
      <c r="A27" s="206" t="s">
        <v>66</v>
      </c>
      <c r="H27" s="211"/>
    </row>
    <row r="28" spans="1:8" ht="13.5">
      <c r="A28" s="67" t="s">
        <v>62</v>
      </c>
      <c r="H28" s="227">
        <f>12*'Cost Analysis'!T61</f>
        <v>-102000</v>
      </c>
    </row>
    <row r="29" spans="1:8" ht="13.5">
      <c r="A29" s="135" t="s">
        <v>196</v>
      </c>
      <c r="H29" s="227">
        <f>12*'Cost Analysis'!T62</f>
        <v>1921500</v>
      </c>
    </row>
    <row r="30" spans="1:8" ht="13.5">
      <c r="A30" s="71" t="s">
        <v>63</v>
      </c>
      <c r="H30" s="227">
        <f>12*'Cost Analysis'!T63</f>
        <v>-361258.25546091166</v>
      </c>
    </row>
    <row r="31" spans="1:8" ht="13.5">
      <c r="A31" s="71" t="s">
        <v>67</v>
      </c>
      <c r="H31" s="227">
        <f>12*'Cost Analysis'!T64</f>
        <v>154209.70532303932</v>
      </c>
    </row>
    <row r="32" spans="1:8" ht="13.5">
      <c r="A32" s="135" t="s">
        <v>164</v>
      </c>
      <c r="H32" s="227">
        <f>12*'Cost Analysis'!T65</f>
        <v>370260</v>
      </c>
    </row>
    <row r="33" spans="1:8" ht="13.5">
      <c r="A33" s="71" t="s">
        <v>63</v>
      </c>
      <c r="H33" s="227">
        <f>12*'Cost Analysis'!T66</f>
        <v>-73830.92215430652</v>
      </c>
    </row>
    <row r="34" spans="1:8" ht="13.5">
      <c r="A34" s="71" t="s">
        <v>67</v>
      </c>
      <c r="H34" s="227">
        <f>12*'Cost Analysis'!T67</f>
        <v>31516.081852905307</v>
      </c>
    </row>
    <row r="35" spans="1:8" ht="13.5">
      <c r="A35" s="67" t="s">
        <v>68</v>
      </c>
      <c r="H35" s="227">
        <f>12*'Cost Analysis'!T68</f>
        <v>1205406.0701967897</v>
      </c>
    </row>
    <row r="36" spans="1:8" ht="13.5">
      <c r="A36" s="67" t="s">
        <v>69</v>
      </c>
      <c r="H36" s="227">
        <f>12*'Cost Analysis'!T69</f>
        <v>158626.91193615668</v>
      </c>
    </row>
    <row r="37" spans="1:8" ht="14.25" thickBot="1">
      <c r="A37" s="67" t="s">
        <v>70</v>
      </c>
      <c r="H37" s="225">
        <f>12*'Cost Analysis'!T70</f>
        <v>-2043857.755016204</v>
      </c>
    </row>
    <row r="38" spans="1:8" ht="14.25" thickBot="1">
      <c r="A38" s="134" t="s">
        <v>65</v>
      </c>
      <c r="H38" s="228">
        <f>SUM(H28:H37)</f>
        <v>1260571.8366774684</v>
      </c>
    </row>
    <row r="39" ht="13.5" customHeight="1" thickTop="1"/>
    <row r="40" spans="1:8" ht="14.25" thickBot="1">
      <c r="A40" s="212" t="s">
        <v>242</v>
      </c>
      <c r="H40" s="229">
        <f>H25-H38</f>
        <v>40440.024175950326</v>
      </c>
    </row>
    <row r="41" ht="18" thickTop="1">
      <c r="A41" s="269" t="s">
        <v>305</v>
      </c>
    </row>
  </sheetData>
  <sheetProtection/>
  <mergeCells count="1">
    <mergeCell ref="A3:H3"/>
  </mergeCells>
  <printOptions/>
  <pageMargins left="0.7" right="0.7" top="0.29" bottom="0.52" header="0.3" footer="0.3"/>
  <pageSetup fitToHeight="1" fitToWidth="1" horizontalDpi="600" verticalDpi="600" orientation="portrait" scale="85" r:id="rId1"/>
  <headerFooter>
    <oddFooter>&amp;CPage 6</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C34"/>
  <sheetViews>
    <sheetView zoomScale="75" zoomScaleNormal="75" zoomScalePageLayoutView="0" workbookViewId="0" topLeftCell="A1">
      <selection activeCell="A2" sqref="A2"/>
    </sheetView>
  </sheetViews>
  <sheetFormatPr defaultColWidth="9.140625" defaultRowHeight="15"/>
  <cols>
    <col min="1" max="1" width="114.00390625" style="0" customWidth="1"/>
    <col min="2" max="2" width="15.7109375" style="0" customWidth="1"/>
    <col min="3" max="3" width="20.7109375" style="0" customWidth="1"/>
  </cols>
  <sheetData>
    <row r="1" spans="1:3" ht="38.25" customHeight="1" thickBot="1">
      <c r="A1" s="118" t="s">
        <v>71</v>
      </c>
      <c r="B1" s="116"/>
      <c r="C1" s="117"/>
    </row>
    <row r="2" ht="21">
      <c r="A2" s="22" t="s">
        <v>304</v>
      </c>
    </row>
    <row r="3" spans="1:3" ht="31.5" customHeight="1">
      <c r="A3" s="321" t="s">
        <v>72</v>
      </c>
      <c r="B3" s="322"/>
      <c r="C3" s="322"/>
    </row>
    <row r="4" spans="1:3" ht="15" thickBot="1">
      <c r="A4" s="12"/>
      <c r="B4" s="105"/>
      <c r="C4" s="105"/>
    </row>
    <row r="5" spans="1:3" ht="27.75" thickBot="1">
      <c r="A5" s="138" t="s">
        <v>73</v>
      </c>
      <c r="B5" s="138" t="s">
        <v>74</v>
      </c>
      <c r="C5" s="137" t="s">
        <v>75</v>
      </c>
    </row>
    <row r="6" spans="1:3" ht="39.75" customHeight="1" thickBot="1">
      <c r="A6" s="21" t="s">
        <v>76</v>
      </c>
      <c r="B6" s="130"/>
      <c r="C6" s="130"/>
    </row>
    <row r="7" spans="1:3" ht="39.75" customHeight="1" thickBot="1">
      <c r="A7" s="21" t="s">
        <v>77</v>
      </c>
      <c r="B7" s="130"/>
      <c r="C7" s="130"/>
    </row>
    <row r="8" spans="1:3" ht="39.75" customHeight="1" thickBot="1">
      <c r="A8" s="21" t="s">
        <v>78</v>
      </c>
      <c r="B8" s="130"/>
      <c r="C8" s="130"/>
    </row>
    <row r="9" spans="1:3" ht="39.75" customHeight="1" thickBot="1">
      <c r="A9" s="21" t="s">
        <v>79</v>
      </c>
      <c r="B9" s="130"/>
      <c r="C9" s="130"/>
    </row>
    <row r="10" spans="1:3" ht="39.75" customHeight="1" thickBot="1">
      <c r="A10" s="21" t="s">
        <v>80</v>
      </c>
      <c r="B10" s="130"/>
      <c r="C10" s="130"/>
    </row>
    <row r="11" spans="1:3" ht="39.75" customHeight="1" thickBot="1">
      <c r="A11" s="21" t="s">
        <v>81</v>
      </c>
      <c r="B11" s="130"/>
      <c r="C11" s="130"/>
    </row>
    <row r="12" spans="1:3" ht="39.75" customHeight="1" thickBot="1">
      <c r="A12" s="21" t="s">
        <v>82</v>
      </c>
      <c r="B12" s="130"/>
      <c r="C12" s="130"/>
    </row>
    <row r="13" spans="1:3" ht="39.75" customHeight="1" thickBot="1">
      <c r="A13" s="21" t="s">
        <v>83</v>
      </c>
      <c r="B13" s="130"/>
      <c r="C13" s="130"/>
    </row>
    <row r="14" spans="1:3" ht="39.75" customHeight="1" thickBot="1">
      <c r="A14" s="21" t="s">
        <v>84</v>
      </c>
      <c r="B14" s="130"/>
      <c r="C14" s="130"/>
    </row>
    <row r="15" spans="1:3" ht="39.75" customHeight="1" thickBot="1">
      <c r="A15" s="21" t="s">
        <v>85</v>
      </c>
      <c r="B15" s="130"/>
      <c r="C15" s="130"/>
    </row>
    <row r="16" spans="1:3" ht="39.75" customHeight="1" thickBot="1">
      <c r="A16" s="21" t="s">
        <v>86</v>
      </c>
      <c r="B16" s="130"/>
      <c r="C16" s="130"/>
    </row>
    <row r="17" spans="1:3" ht="39.75" customHeight="1" thickBot="1">
      <c r="A17" s="21" t="s">
        <v>87</v>
      </c>
      <c r="B17" s="130"/>
      <c r="C17" s="130"/>
    </row>
    <row r="18" spans="1:3" ht="39.75" customHeight="1" thickBot="1">
      <c r="A18" s="21" t="s">
        <v>88</v>
      </c>
      <c r="B18" s="130"/>
      <c r="C18" s="130"/>
    </row>
    <row r="19" spans="1:3" ht="39.75" customHeight="1" thickBot="1">
      <c r="A19" s="21" t="s">
        <v>89</v>
      </c>
      <c r="B19" s="130"/>
      <c r="C19" s="130"/>
    </row>
    <row r="20" spans="1:3" ht="39.75" customHeight="1" thickBot="1">
      <c r="A20" s="230" t="s">
        <v>266</v>
      </c>
      <c r="B20" s="130"/>
      <c r="C20" s="130"/>
    </row>
    <row r="21" spans="1:3" ht="39.75" customHeight="1" thickBot="1">
      <c r="A21" s="21" t="s">
        <v>90</v>
      </c>
      <c r="B21" s="130"/>
      <c r="C21" s="130"/>
    </row>
    <row r="22" spans="1:3" ht="39.75" customHeight="1" thickBot="1">
      <c r="A22" s="21" t="s">
        <v>91</v>
      </c>
      <c r="B22" s="130"/>
      <c r="C22" s="130"/>
    </row>
    <row r="23" spans="1:3" ht="39.75" customHeight="1" thickBot="1">
      <c r="A23" s="21" t="s">
        <v>92</v>
      </c>
      <c r="B23" s="130"/>
      <c r="C23" s="130"/>
    </row>
    <row r="24" spans="1:3" ht="39.75" customHeight="1" thickBot="1">
      <c r="A24" s="21" t="s">
        <v>93</v>
      </c>
      <c r="B24" s="130"/>
      <c r="C24" s="130"/>
    </row>
    <row r="25" spans="1:3" ht="39.75" customHeight="1" thickBot="1">
      <c r="A25" s="21" t="s">
        <v>94</v>
      </c>
      <c r="B25" s="130"/>
      <c r="C25" s="130"/>
    </row>
    <row r="26" spans="1:3" ht="39.75" customHeight="1" thickBot="1">
      <c r="A26" s="21" t="s">
        <v>95</v>
      </c>
      <c r="B26" s="130"/>
      <c r="C26" s="130"/>
    </row>
    <row r="27" spans="1:3" ht="39.75" customHeight="1" thickBot="1">
      <c r="A27" s="231" t="s">
        <v>96</v>
      </c>
      <c r="B27" s="130"/>
      <c r="C27" s="130"/>
    </row>
    <row r="28" spans="1:3" ht="39.75" customHeight="1" thickBot="1">
      <c r="A28" s="231" t="s">
        <v>96</v>
      </c>
      <c r="B28" s="130"/>
      <c r="C28" s="130"/>
    </row>
    <row r="29" spans="1:3" ht="39.75" customHeight="1" thickBot="1">
      <c r="A29" s="231" t="s">
        <v>96</v>
      </c>
      <c r="B29" s="130"/>
      <c r="C29" s="130"/>
    </row>
    <row r="30" spans="1:3" ht="15">
      <c r="A30" s="3"/>
      <c r="B30" s="3"/>
      <c r="C30" s="3"/>
    </row>
    <row r="31" ht="14.25">
      <c r="A31" s="1"/>
    </row>
    <row r="32" spans="1:3" ht="46.5" customHeight="1">
      <c r="A32" s="321" t="s">
        <v>97</v>
      </c>
      <c r="B32" s="322"/>
      <c r="C32" s="322"/>
    </row>
    <row r="33" ht="17.25">
      <c r="A33" s="269" t="s">
        <v>305</v>
      </c>
    </row>
    <row r="34" ht="14.25">
      <c r="A34" s="1"/>
    </row>
  </sheetData>
  <sheetProtection/>
  <mergeCells count="2">
    <mergeCell ref="A32:C32"/>
    <mergeCell ref="A3:C3"/>
  </mergeCells>
  <printOptions/>
  <pageMargins left="0.7" right="0.7" top="0.3" bottom="0.54" header="0.3" footer="0.3"/>
  <pageSetup fitToHeight="1" fitToWidth="1" horizontalDpi="600" verticalDpi="600" orientation="portrait" scale="60" r:id="rId1"/>
  <headerFooter>
    <oddFooter>&amp;CPage 7</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V79"/>
  <sheetViews>
    <sheetView zoomScale="75" zoomScaleNormal="75" zoomScalePageLayoutView="0" workbookViewId="0" topLeftCell="A1">
      <pane xSplit="3" ySplit="8" topLeftCell="D51" activePane="bottomRight" state="frozen"/>
      <selection pane="topLeft" activeCell="A2" sqref="A2"/>
      <selection pane="topRight" activeCell="A2" sqref="A2"/>
      <selection pane="bottomLeft" activeCell="A2" sqref="A2"/>
      <selection pane="bottomRight" activeCell="D4" sqref="D4"/>
    </sheetView>
  </sheetViews>
  <sheetFormatPr defaultColWidth="9.140625" defaultRowHeight="15"/>
  <cols>
    <col min="1" max="1" width="4.57421875" style="16" customWidth="1"/>
    <col min="2" max="2" width="35.57421875" style="16" customWidth="1"/>
    <col min="3" max="9" width="10.7109375" style="16" customWidth="1"/>
    <col min="10" max="19" width="10.7109375" style="16" hidden="1" customWidth="1"/>
    <col min="20" max="20" width="10.7109375" style="16" customWidth="1"/>
    <col min="21" max="21" width="2.8515625" style="16" customWidth="1"/>
    <col min="22" max="22" width="38.28125" style="16" customWidth="1"/>
    <col min="23" max="16384" width="9.140625" style="16" customWidth="1"/>
  </cols>
  <sheetData>
    <row r="1" spans="1:22" ht="30" customHeight="1" thickBot="1">
      <c r="A1" s="139" t="s">
        <v>99</v>
      </c>
      <c r="B1" s="140"/>
      <c r="C1" s="141"/>
      <c r="D1" s="141"/>
      <c r="E1" s="141"/>
      <c r="F1" s="141"/>
      <c r="G1" s="141"/>
      <c r="H1" s="141"/>
      <c r="I1" s="141"/>
      <c r="J1" s="141"/>
      <c r="K1" s="141"/>
      <c r="L1" s="141"/>
      <c r="M1" s="141"/>
      <c r="N1" s="141"/>
      <c r="O1" s="141"/>
      <c r="P1" s="141"/>
      <c r="Q1" s="141"/>
      <c r="R1" s="141"/>
      <c r="S1" s="141"/>
      <c r="T1" s="142"/>
      <c r="U1" s="65"/>
      <c r="V1" s="65"/>
    </row>
    <row r="2" spans="1:22" ht="12.75" customHeight="1">
      <c r="A2"/>
      <c r="B2" s="22" t="s">
        <v>304</v>
      </c>
      <c r="C2"/>
      <c r="D2"/>
      <c r="E2"/>
      <c r="F2"/>
      <c r="G2"/>
      <c r="H2"/>
      <c r="I2"/>
      <c r="J2"/>
      <c r="K2"/>
      <c r="L2"/>
      <c r="M2"/>
      <c r="N2"/>
      <c r="O2"/>
      <c r="P2"/>
      <c r="Q2"/>
      <c r="R2"/>
      <c r="S2"/>
      <c r="T2"/>
      <c r="U2" s="65"/>
      <c r="V2" s="65"/>
    </row>
    <row r="3" ht="17.25">
      <c r="A3" s="232" t="str">
        <f>VLOOKUP("x",'Page 3'!$A$5:$B$8,2,FALSE)</f>
        <v>A: Nursing Home Downsizing</v>
      </c>
    </row>
    <row r="4" spans="1:3" ht="44.25" customHeight="1" thickBot="1">
      <c r="A4" s="323" t="str">
        <f>'Page 2'!B5</f>
        <v>ABC Nursing Home</v>
      </c>
      <c r="B4" s="324"/>
      <c r="C4" s="324"/>
    </row>
    <row r="5" spans="3:20" ht="18" thickBot="1">
      <c r="C5" s="160" t="s">
        <v>150</v>
      </c>
      <c r="D5" s="150"/>
      <c r="E5" s="150"/>
      <c r="F5" s="150"/>
      <c r="G5" s="150"/>
      <c r="H5" s="150"/>
      <c r="I5" s="150"/>
      <c r="J5" s="150"/>
      <c r="K5" s="150"/>
      <c r="L5" s="150"/>
      <c r="M5" s="150"/>
      <c r="N5" s="150"/>
      <c r="O5" s="150"/>
      <c r="P5" s="150"/>
      <c r="Q5" s="150"/>
      <c r="R5" s="150"/>
      <c r="S5" s="150"/>
      <c r="T5" s="151"/>
    </row>
    <row r="6" spans="1:22" ht="14.25">
      <c r="A6" s="202" t="s">
        <v>241</v>
      </c>
      <c r="B6" s="202"/>
      <c r="C6" s="152" t="s">
        <v>153</v>
      </c>
      <c r="D6" s="153" t="s">
        <v>151</v>
      </c>
      <c r="E6" s="153"/>
      <c r="F6" s="153"/>
      <c r="G6" s="153"/>
      <c r="H6" s="153"/>
      <c r="I6" s="153"/>
      <c r="J6" s="154"/>
      <c r="K6" s="154"/>
      <c r="L6" s="154"/>
      <c r="M6" s="154"/>
      <c r="N6" s="154"/>
      <c r="O6" s="154"/>
      <c r="P6" s="154"/>
      <c r="Q6" s="154"/>
      <c r="R6" s="154"/>
      <c r="S6" s="154"/>
      <c r="T6" s="155" t="s">
        <v>154</v>
      </c>
      <c r="V6" s="246" t="s">
        <v>270</v>
      </c>
    </row>
    <row r="7" spans="1:22" ht="15" thickBot="1">
      <c r="A7" s="39" t="s">
        <v>273</v>
      </c>
      <c r="B7" s="202"/>
      <c r="C7" s="156" t="s">
        <v>24</v>
      </c>
      <c r="D7" s="157">
        <v>1</v>
      </c>
      <c r="E7" s="158">
        <f>D7+1</f>
        <v>2</v>
      </c>
      <c r="F7" s="158">
        <f>E7+1</f>
        <v>3</v>
      </c>
      <c r="G7" s="158">
        <f>F7+1</f>
        <v>4</v>
      </c>
      <c r="H7" s="158">
        <f>G7+1</f>
        <v>5</v>
      </c>
      <c r="I7" s="158">
        <f>H7+1</f>
        <v>6</v>
      </c>
      <c r="J7" s="158">
        <f>I7+1</f>
        <v>7</v>
      </c>
      <c r="K7" s="158">
        <f>J7+1</f>
        <v>8</v>
      </c>
      <c r="L7" s="158">
        <f>K7+1</f>
        <v>9</v>
      </c>
      <c r="M7" s="158">
        <f>L7+1</f>
        <v>10</v>
      </c>
      <c r="N7" s="158">
        <f>M7+1</f>
        <v>11</v>
      </c>
      <c r="O7" s="158">
        <f>N7+1</f>
        <v>12</v>
      </c>
      <c r="P7" s="158">
        <f>O7+1</f>
        <v>13</v>
      </c>
      <c r="Q7" s="158">
        <f>P7+1</f>
        <v>14</v>
      </c>
      <c r="R7" s="158">
        <f>Q7+1</f>
        <v>15</v>
      </c>
      <c r="S7" s="158">
        <f>R7+1</f>
        <v>16</v>
      </c>
      <c r="T7" s="159" t="s">
        <v>24</v>
      </c>
      <c r="V7" s="247" t="s">
        <v>271</v>
      </c>
    </row>
    <row r="8" spans="3:22" ht="14.25" thickBot="1">
      <c r="C8" s="147">
        <f>'Page 3'!C47</f>
        <v>41426</v>
      </c>
      <c r="D8" s="148">
        <f>'Page 3'!D47</f>
        <v>41456</v>
      </c>
      <c r="E8" s="148">
        <f>'Page 3'!E47</f>
        <v>41487</v>
      </c>
      <c r="F8" s="148">
        <f>'Page 3'!F47</f>
        <v>41518</v>
      </c>
      <c r="G8" s="148">
        <f>'Page 3'!G47</f>
        <v>41548</v>
      </c>
      <c r="H8" s="148">
        <f>'Page 3'!H47</f>
        <v>41579</v>
      </c>
      <c r="I8" s="148">
        <f>'Page 3'!I47</f>
        <v>41609</v>
      </c>
      <c r="J8" s="148">
        <f>'Page 3'!J47</f>
        <v>41640</v>
      </c>
      <c r="K8" s="148">
        <f>'Page 3'!K47</f>
        <v>41671</v>
      </c>
      <c r="L8" s="148">
        <f>'Page 3'!C51</f>
        <v>41699</v>
      </c>
      <c r="M8" s="148">
        <f>'Page 3'!D51</f>
        <v>41730</v>
      </c>
      <c r="N8" s="148">
        <f>'Page 3'!E51</f>
        <v>41760</v>
      </c>
      <c r="O8" s="148">
        <f>'Page 3'!F51</f>
        <v>41791</v>
      </c>
      <c r="P8" s="148">
        <f>'Page 3'!G51</f>
        <v>41821</v>
      </c>
      <c r="Q8" s="148">
        <f>'Page 3'!H51</f>
        <v>41852</v>
      </c>
      <c r="R8" s="148">
        <f>'Page 3'!I51</f>
        <v>41883</v>
      </c>
      <c r="S8" s="148">
        <f>'Page 3'!J51</f>
        <v>41913</v>
      </c>
      <c r="T8" s="149">
        <f>INDEX(D8:S8,SUM(D9:S9)+1)</f>
        <v>41640</v>
      </c>
      <c r="V8" s="248" t="s">
        <v>272</v>
      </c>
    </row>
    <row r="9" spans="3:20" ht="13.5">
      <c r="C9" s="144"/>
      <c r="D9" s="103">
        <f>IF(AND('Page 3'!$A$5="x",D8&lt;=MAX('Page 3'!$K$17,EOMONTH('Page 3'!$K$16,-2)+1)),1,0)</f>
        <v>1</v>
      </c>
      <c r="E9" s="103">
        <f>IF(AND('Page 3'!$A$5="x",E8&lt;=MAX('Page 3'!$K$17,EOMONTH('Page 3'!$K$16,-2)+1)),1,0)</f>
        <v>1</v>
      </c>
      <c r="F9" s="103">
        <f>IF(AND('Page 3'!$A$5="x",F8&lt;=MAX('Page 3'!$K$17,EOMONTH('Page 3'!$K$16,-2)+1)),1,0)</f>
        <v>1</v>
      </c>
      <c r="G9" s="103">
        <f>IF(AND('Page 3'!$A$5="x",G8&lt;=MAX('Page 3'!$K$17,EOMONTH('Page 3'!$K$16,-2)+1)),1,0)</f>
        <v>1</v>
      </c>
      <c r="H9" s="103">
        <f>IF(AND('Page 3'!$A$5="x",H8&lt;=MAX('Page 3'!$K$17,EOMONTH('Page 3'!$K$16,-2)+1)),1,0)</f>
        <v>1</v>
      </c>
      <c r="I9" s="103">
        <f>IF(AND('Page 3'!$A$5="x",I8&lt;=MAX('Page 3'!$K$17,EOMONTH('Page 3'!$K$16,-2)+1)),1,0)</f>
        <v>1</v>
      </c>
      <c r="J9" s="103">
        <f>IF(AND('Page 3'!$A$5="x",J8&lt;=MAX('Page 3'!$K$17,EOMONTH('Page 3'!$K$16,-2)+1)),1,0)</f>
        <v>0</v>
      </c>
      <c r="K9" s="103">
        <f>IF(AND('Page 3'!$A$5="x",K8&lt;=MAX('Page 3'!$K$17,EOMONTH('Page 3'!$K$16,-2)+1)),1,0)</f>
        <v>0</v>
      </c>
      <c r="L9" s="103">
        <f>IF(AND('Page 3'!$A$5="x",L8&lt;=MAX('Page 3'!$K$17,EOMONTH('Page 3'!$K$16,-2)+1)),1,0)</f>
        <v>0</v>
      </c>
      <c r="M9" s="103">
        <f>IF(AND('Page 3'!$A$5="x",M8&lt;=MAX('Page 3'!$K$17,EOMONTH('Page 3'!$K$16,-2)+1)),1,0)</f>
        <v>0</v>
      </c>
      <c r="N9" s="103">
        <f>IF(AND('Page 3'!$A$5="x",N8&lt;=MAX('Page 3'!$K$17,EOMONTH('Page 3'!$K$16,-2)+1)),1,0)</f>
        <v>0</v>
      </c>
      <c r="O9" s="103">
        <f>IF(AND('Page 3'!$A$5="x",O8&lt;=MAX('Page 3'!$K$17,EOMONTH('Page 3'!$K$16,-2)+1)),1,0)</f>
        <v>0</v>
      </c>
      <c r="P9" s="103">
        <f>IF(AND('Page 3'!$A$5="x",P8&lt;=MAX('Page 3'!$K$17,EOMONTH('Page 3'!$K$16,-2)+1)),1,0)</f>
        <v>0</v>
      </c>
      <c r="Q9" s="103">
        <f>IF(AND('Page 3'!$A$5="x",Q8&lt;=MAX('Page 3'!$K$17,EOMONTH('Page 3'!$K$16,-2)+1)),1,0)</f>
        <v>0</v>
      </c>
      <c r="R9" s="103">
        <f>IF(AND('Page 3'!$A$5="x",R8&lt;=MAX('Page 3'!$K$17,EOMONTH('Page 3'!$K$16,-2)+1)),1,0)</f>
        <v>0</v>
      </c>
      <c r="S9" s="145">
        <f>IF(AND('Page 3'!$A$5="x",S8&lt;=MAX('Page 3'!$K$17,EOMONTH('Page 3'!$K$16,-2)+1)),1,0)</f>
        <v>0</v>
      </c>
      <c r="T9" s="146"/>
    </row>
    <row r="10" spans="1:22" ht="13.5">
      <c r="A10" s="27">
        <v>1</v>
      </c>
      <c r="B10" s="28" t="s">
        <v>100</v>
      </c>
      <c r="C10" s="241">
        <f>'Page 3'!C48</f>
        <v>105</v>
      </c>
      <c r="D10" s="50">
        <f>C10</f>
        <v>105</v>
      </c>
      <c r="E10" s="50">
        <f>D10</f>
        <v>105</v>
      </c>
      <c r="F10" s="50">
        <f>E10</f>
        <v>105</v>
      </c>
      <c r="G10" s="50">
        <f>F10</f>
        <v>105</v>
      </c>
      <c r="H10" s="50">
        <f>G10</f>
        <v>105</v>
      </c>
      <c r="I10" s="50">
        <f>H10</f>
        <v>105</v>
      </c>
      <c r="J10" s="50">
        <f>I10</f>
        <v>105</v>
      </c>
      <c r="K10" s="50">
        <f>J10</f>
        <v>105</v>
      </c>
      <c r="L10" s="50">
        <f>K10</f>
        <v>105</v>
      </c>
      <c r="M10" s="50">
        <f>L10</f>
        <v>105</v>
      </c>
      <c r="N10" s="50">
        <f>M10</f>
        <v>105</v>
      </c>
      <c r="O10" s="50">
        <f>N10</f>
        <v>105</v>
      </c>
      <c r="P10" s="50">
        <f>O10</f>
        <v>105</v>
      </c>
      <c r="Q10" s="50">
        <f>P10</f>
        <v>105</v>
      </c>
      <c r="R10" s="50">
        <f>Q10</f>
        <v>105</v>
      </c>
      <c r="S10" s="49">
        <f>R10</f>
        <v>105</v>
      </c>
      <c r="T10" s="92">
        <f>S10</f>
        <v>105</v>
      </c>
      <c r="V10" s="16" t="s">
        <v>102</v>
      </c>
    </row>
    <row r="11" spans="1:20" ht="13.5">
      <c r="A11" s="30"/>
      <c r="C11" s="33"/>
      <c r="D11" s="32"/>
      <c r="E11" s="32"/>
      <c r="F11" s="32"/>
      <c r="G11" s="32"/>
      <c r="H11" s="32"/>
      <c r="I11" s="32"/>
      <c r="J11" s="32"/>
      <c r="K11" s="32"/>
      <c r="L11" s="32"/>
      <c r="M11" s="32"/>
      <c r="N11" s="32"/>
      <c r="O11" s="32"/>
      <c r="P11" s="32"/>
      <c r="Q11" s="32"/>
      <c r="R11" s="32"/>
      <c r="S11" s="33"/>
      <c r="T11" s="93"/>
    </row>
    <row r="12" spans="1:22" ht="13.5">
      <c r="A12" s="27">
        <v>2</v>
      </c>
      <c r="B12" s="28" t="s">
        <v>105</v>
      </c>
      <c r="C12" s="241">
        <f>'Page 3'!C48</f>
        <v>105</v>
      </c>
      <c r="D12" s="242">
        <f>IF(D8&gt;'Page 3'!$K$16,C12,'Page 3'!D48)</f>
        <v>100</v>
      </c>
      <c r="E12" s="242">
        <f>IF(E8&gt;'Page 3'!$K$16,D12,'Page 3'!E48)</f>
        <v>90</v>
      </c>
      <c r="F12" s="242">
        <f>IF(F8&gt;'Page 3'!$K$16,E12,'Page 3'!F48)</f>
        <v>80</v>
      </c>
      <c r="G12" s="242">
        <f>IF(G8&gt;'Page 3'!$K$16,F12,'Page 3'!G48)</f>
        <v>70</v>
      </c>
      <c r="H12" s="242">
        <f>IF(H8&gt;'Page 3'!$K$16,G12,'Page 3'!H48)</f>
        <v>60</v>
      </c>
      <c r="I12" s="242">
        <f>IF(I8&gt;'Page 3'!$K$16,H12,'Page 3'!I48)</f>
        <v>55</v>
      </c>
      <c r="J12" s="242">
        <f>IF(J8&gt;'Page 3'!$K$16,I12,'Page 3'!J48)</f>
        <v>50</v>
      </c>
      <c r="K12" s="242">
        <f>IF(K8&gt;'Page 3'!$K$16,J12,'Page 3'!K48)</f>
        <v>50</v>
      </c>
      <c r="L12" s="242">
        <f>IF(L8&gt;'Page 3'!$K$16,K12,'Page 3'!L48)</f>
        <v>50</v>
      </c>
      <c r="M12" s="242">
        <f>IF(M8&gt;'Page 3'!$K$16,L12,'Page 3'!M48)</f>
        <v>50</v>
      </c>
      <c r="N12" s="242">
        <f>IF(N8&gt;'Page 3'!$K$16,M12,'Page 3'!N48)</f>
        <v>50</v>
      </c>
      <c r="O12" s="242">
        <f>IF(O8&gt;'Page 3'!$K$16,N12,'Page 3'!O48)</f>
        <v>50</v>
      </c>
      <c r="P12" s="242">
        <f>IF(P8&gt;'Page 3'!$K$16,O12,'Page 3'!P48)</f>
        <v>50</v>
      </c>
      <c r="Q12" s="242">
        <f>IF(Q8&gt;'Page 3'!$K$16,P12,'Page 3'!Q48)</f>
        <v>50</v>
      </c>
      <c r="R12" s="242">
        <f>IF(R8&gt;'Page 3'!$K$16,Q12,'Page 3'!R48)</f>
        <v>50</v>
      </c>
      <c r="S12" s="241">
        <f>IF(S8&gt;'Page 3'!$K$16,R12,'Page 3'!S48)</f>
        <v>50</v>
      </c>
      <c r="T12" s="243">
        <f>INDEX(D12:S12,SUM(D9:S9)+1)</f>
        <v>50</v>
      </c>
      <c r="V12" s="16" t="s">
        <v>102</v>
      </c>
    </row>
    <row r="13" spans="1:20" ht="13.5">
      <c r="A13" s="30"/>
      <c r="C13" s="33"/>
      <c r="D13" s="32"/>
      <c r="E13" s="32"/>
      <c r="F13" s="32"/>
      <c r="G13" s="32"/>
      <c r="H13" s="32"/>
      <c r="I13" s="32"/>
      <c r="J13" s="32"/>
      <c r="K13" s="32"/>
      <c r="L13" s="32"/>
      <c r="M13" s="32"/>
      <c r="N13" s="32"/>
      <c r="O13" s="32"/>
      <c r="P13" s="32"/>
      <c r="Q13" s="32"/>
      <c r="R13" s="32"/>
      <c r="S13" s="33"/>
      <c r="T13" s="93"/>
    </row>
    <row r="14" spans="1:22" ht="13.5">
      <c r="A14" s="27">
        <v>3</v>
      </c>
      <c r="B14" s="28" t="s">
        <v>106</v>
      </c>
      <c r="C14" s="33"/>
      <c r="D14" s="32"/>
      <c r="E14" s="32"/>
      <c r="F14" s="32"/>
      <c r="G14" s="32"/>
      <c r="H14" s="32"/>
      <c r="I14" s="32"/>
      <c r="J14" s="32"/>
      <c r="K14" s="32"/>
      <c r="L14" s="32"/>
      <c r="M14" s="32"/>
      <c r="N14" s="32"/>
      <c r="O14" s="32"/>
      <c r="P14" s="32"/>
      <c r="Q14" s="32"/>
      <c r="R14" s="32"/>
      <c r="S14" s="33"/>
      <c r="T14" s="93"/>
      <c r="V14" s="28" t="s">
        <v>107</v>
      </c>
    </row>
    <row r="15" spans="1:22" ht="13.5">
      <c r="A15" s="30" t="s">
        <v>101</v>
      </c>
      <c r="B15" s="34" t="s">
        <v>108</v>
      </c>
      <c r="C15" s="241">
        <f>SUM('Page 4'!B12:B17,'Page 4'!B24:B25)/12</f>
        <v>2160</v>
      </c>
      <c r="D15" s="50">
        <f>C15</f>
        <v>2160</v>
      </c>
      <c r="E15" s="50">
        <f>D15</f>
        <v>2160</v>
      </c>
      <c r="F15" s="50">
        <f>E15</f>
        <v>2160</v>
      </c>
      <c r="G15" s="50">
        <f>F15</f>
        <v>2160</v>
      </c>
      <c r="H15" s="50">
        <f>G15</f>
        <v>2160</v>
      </c>
      <c r="I15" s="50">
        <f>H15</f>
        <v>2160</v>
      </c>
      <c r="J15" s="50">
        <f>I15</f>
        <v>2160</v>
      </c>
      <c r="K15" s="50">
        <f>J15</f>
        <v>2160</v>
      </c>
      <c r="L15" s="50">
        <f>K15</f>
        <v>2160</v>
      </c>
      <c r="M15" s="50">
        <f>L15</f>
        <v>2160</v>
      </c>
      <c r="N15" s="50">
        <f>M15</f>
        <v>2160</v>
      </c>
      <c r="O15" s="50">
        <f>N15</f>
        <v>2160</v>
      </c>
      <c r="P15" s="50">
        <f>O15</f>
        <v>2160</v>
      </c>
      <c r="Q15" s="50">
        <f>P15</f>
        <v>2160</v>
      </c>
      <c r="R15" s="50">
        <f>Q15</f>
        <v>2160</v>
      </c>
      <c r="S15" s="49">
        <f>R15</f>
        <v>2160</v>
      </c>
      <c r="T15" s="92">
        <f>S15</f>
        <v>2160</v>
      </c>
      <c r="V15" s="28" t="s">
        <v>109</v>
      </c>
    </row>
    <row r="16" spans="1:22" ht="13.5">
      <c r="A16" s="30" t="s">
        <v>103</v>
      </c>
      <c r="B16" s="34" t="s">
        <v>110</v>
      </c>
      <c r="C16" s="241">
        <f>'Page 4'!B28/12-C15</f>
        <v>660</v>
      </c>
      <c r="D16" s="50">
        <f>C16</f>
        <v>660</v>
      </c>
      <c r="E16" s="50">
        <f>D16</f>
        <v>660</v>
      </c>
      <c r="F16" s="50">
        <f>E16</f>
        <v>660</v>
      </c>
      <c r="G16" s="50">
        <f>F16</f>
        <v>660</v>
      </c>
      <c r="H16" s="50">
        <f>G16</f>
        <v>660</v>
      </c>
      <c r="I16" s="50">
        <f>H16</f>
        <v>660</v>
      </c>
      <c r="J16" s="50">
        <f>I16</f>
        <v>660</v>
      </c>
      <c r="K16" s="50">
        <f>J16</f>
        <v>660</v>
      </c>
      <c r="L16" s="50">
        <f>K16</f>
        <v>660</v>
      </c>
      <c r="M16" s="50">
        <f>L16</f>
        <v>660</v>
      </c>
      <c r="N16" s="50">
        <f>M16</f>
        <v>660</v>
      </c>
      <c r="O16" s="50">
        <f>N16</f>
        <v>660</v>
      </c>
      <c r="P16" s="50">
        <f>O16</f>
        <v>660</v>
      </c>
      <c r="Q16" s="50">
        <f>P16</f>
        <v>660</v>
      </c>
      <c r="R16" s="50">
        <f>Q16</f>
        <v>660</v>
      </c>
      <c r="S16" s="49">
        <f>R16</f>
        <v>660</v>
      </c>
      <c r="T16" s="92">
        <f>S16</f>
        <v>660</v>
      </c>
      <c r="V16" s="28" t="s">
        <v>111</v>
      </c>
    </row>
    <row r="17" spans="1:20" ht="13.5">
      <c r="A17" s="30" t="s">
        <v>104</v>
      </c>
      <c r="B17" s="31" t="s">
        <v>65</v>
      </c>
      <c r="C17" s="49">
        <f aca="true" t="shared" si="0" ref="C17:T17">SUM(C15:C16)</f>
        <v>2820</v>
      </c>
      <c r="D17" s="50">
        <f t="shared" si="0"/>
        <v>2820</v>
      </c>
      <c r="E17" s="50">
        <f t="shared" si="0"/>
        <v>2820</v>
      </c>
      <c r="F17" s="50">
        <f t="shared" si="0"/>
        <v>2820</v>
      </c>
      <c r="G17" s="50">
        <f t="shared" si="0"/>
        <v>2820</v>
      </c>
      <c r="H17" s="50">
        <f t="shared" si="0"/>
        <v>2820</v>
      </c>
      <c r="I17" s="50">
        <f t="shared" si="0"/>
        <v>2820</v>
      </c>
      <c r="J17" s="50">
        <f t="shared" si="0"/>
        <v>2820</v>
      </c>
      <c r="K17" s="50">
        <f t="shared" si="0"/>
        <v>2820</v>
      </c>
      <c r="L17" s="50">
        <f t="shared" si="0"/>
        <v>2820</v>
      </c>
      <c r="M17" s="50">
        <f t="shared" si="0"/>
        <v>2820</v>
      </c>
      <c r="N17" s="50">
        <f t="shared" si="0"/>
        <v>2820</v>
      </c>
      <c r="O17" s="50">
        <f t="shared" si="0"/>
        <v>2820</v>
      </c>
      <c r="P17" s="50">
        <f t="shared" si="0"/>
        <v>2820</v>
      </c>
      <c r="Q17" s="50">
        <f t="shared" si="0"/>
        <v>2820</v>
      </c>
      <c r="R17" s="50">
        <f t="shared" si="0"/>
        <v>2820</v>
      </c>
      <c r="S17" s="49">
        <f t="shared" si="0"/>
        <v>2820</v>
      </c>
      <c r="T17" s="92">
        <f t="shared" si="0"/>
        <v>2820</v>
      </c>
    </row>
    <row r="18" spans="1:22" ht="14.25">
      <c r="A18" s="30" t="s">
        <v>112</v>
      </c>
      <c r="B18" s="36" t="s">
        <v>117</v>
      </c>
      <c r="C18" s="63">
        <f aca="true" t="shared" si="1" ref="C18:T18">C17/(30*C10)</f>
        <v>0.8952380952380953</v>
      </c>
      <c r="D18" s="64">
        <f t="shared" si="1"/>
        <v>0.8952380952380953</v>
      </c>
      <c r="E18" s="64">
        <f t="shared" si="1"/>
        <v>0.8952380952380953</v>
      </c>
      <c r="F18" s="64">
        <f t="shared" si="1"/>
        <v>0.8952380952380953</v>
      </c>
      <c r="G18" s="64">
        <f t="shared" si="1"/>
        <v>0.8952380952380953</v>
      </c>
      <c r="H18" s="64">
        <f t="shared" si="1"/>
        <v>0.8952380952380953</v>
      </c>
      <c r="I18" s="64">
        <f t="shared" si="1"/>
        <v>0.8952380952380953</v>
      </c>
      <c r="J18" s="64">
        <f t="shared" si="1"/>
        <v>0.8952380952380953</v>
      </c>
      <c r="K18" s="64">
        <f t="shared" si="1"/>
        <v>0.8952380952380953</v>
      </c>
      <c r="L18" s="64">
        <f t="shared" si="1"/>
        <v>0.8952380952380953</v>
      </c>
      <c r="M18" s="64">
        <f t="shared" si="1"/>
        <v>0.8952380952380953</v>
      </c>
      <c r="N18" s="64">
        <f t="shared" si="1"/>
        <v>0.8952380952380953</v>
      </c>
      <c r="O18" s="64">
        <f t="shared" si="1"/>
        <v>0.8952380952380953</v>
      </c>
      <c r="P18" s="64">
        <f t="shared" si="1"/>
        <v>0.8952380952380953</v>
      </c>
      <c r="Q18" s="64">
        <f t="shared" si="1"/>
        <v>0.8952380952380953</v>
      </c>
      <c r="R18" s="64">
        <f t="shared" si="1"/>
        <v>0.8952380952380953</v>
      </c>
      <c r="S18" s="63">
        <f t="shared" si="1"/>
        <v>0.8952380952380953</v>
      </c>
      <c r="T18" s="94">
        <f t="shared" si="1"/>
        <v>0.8952380952380953</v>
      </c>
      <c r="V18" s="39"/>
    </row>
    <row r="19" spans="1:22" ht="14.25">
      <c r="A19" s="30" t="s">
        <v>113</v>
      </c>
      <c r="B19" s="36" t="s">
        <v>119</v>
      </c>
      <c r="C19" s="63">
        <f>C15/C17</f>
        <v>0.7659574468085106</v>
      </c>
      <c r="D19" s="64">
        <f aca="true" t="shared" si="2" ref="D19:S19">D15/D17</f>
        <v>0.7659574468085106</v>
      </c>
      <c r="E19" s="64">
        <f t="shared" si="2"/>
        <v>0.7659574468085106</v>
      </c>
      <c r="F19" s="64">
        <f t="shared" si="2"/>
        <v>0.7659574468085106</v>
      </c>
      <c r="G19" s="64">
        <f t="shared" si="2"/>
        <v>0.7659574468085106</v>
      </c>
      <c r="H19" s="64">
        <f t="shared" si="2"/>
        <v>0.7659574468085106</v>
      </c>
      <c r="I19" s="64">
        <f t="shared" si="2"/>
        <v>0.7659574468085106</v>
      </c>
      <c r="J19" s="64">
        <f t="shared" si="2"/>
        <v>0.7659574468085106</v>
      </c>
      <c r="K19" s="64">
        <f t="shared" si="2"/>
        <v>0.7659574468085106</v>
      </c>
      <c r="L19" s="64">
        <f t="shared" si="2"/>
        <v>0.7659574468085106</v>
      </c>
      <c r="M19" s="64">
        <f t="shared" si="2"/>
        <v>0.7659574468085106</v>
      </c>
      <c r="N19" s="64">
        <f t="shared" si="2"/>
        <v>0.7659574468085106</v>
      </c>
      <c r="O19" s="64">
        <f t="shared" si="2"/>
        <v>0.7659574468085106</v>
      </c>
      <c r="P19" s="64">
        <f t="shared" si="2"/>
        <v>0.7659574468085106</v>
      </c>
      <c r="Q19" s="64">
        <f t="shared" si="2"/>
        <v>0.7659574468085106</v>
      </c>
      <c r="R19" s="64">
        <f t="shared" si="2"/>
        <v>0.7659574468085106</v>
      </c>
      <c r="S19" s="63">
        <f t="shared" si="2"/>
        <v>0.7659574468085106</v>
      </c>
      <c r="T19" s="94">
        <f>T15/T17</f>
        <v>0.7659574468085106</v>
      </c>
      <c r="V19" s="39"/>
    </row>
    <row r="20" spans="1:20" ht="13.5">
      <c r="A20" s="30"/>
      <c r="C20" s="33"/>
      <c r="D20" s="32"/>
      <c r="E20" s="32"/>
      <c r="F20" s="32"/>
      <c r="G20" s="32"/>
      <c r="H20" s="32"/>
      <c r="I20" s="32"/>
      <c r="J20" s="32"/>
      <c r="K20" s="32"/>
      <c r="L20" s="32"/>
      <c r="M20" s="32"/>
      <c r="N20" s="32"/>
      <c r="O20" s="32"/>
      <c r="P20" s="32"/>
      <c r="Q20" s="32"/>
      <c r="R20" s="32"/>
      <c r="S20" s="33"/>
      <c r="T20" s="93"/>
    </row>
    <row r="21" spans="1:20" ht="14.25">
      <c r="A21" s="27">
        <v>4</v>
      </c>
      <c r="B21" s="28" t="s">
        <v>120</v>
      </c>
      <c r="C21" s="40">
        <f aca="true" t="shared" si="3" ref="C21:T21">($C12-C12)/($C12-$T12)</f>
        <v>0</v>
      </c>
      <c r="D21" s="41">
        <f t="shared" si="3"/>
        <v>0.09090909090909091</v>
      </c>
      <c r="E21" s="41">
        <f t="shared" si="3"/>
        <v>0.2727272727272727</v>
      </c>
      <c r="F21" s="41">
        <f t="shared" si="3"/>
        <v>0.45454545454545453</v>
      </c>
      <c r="G21" s="41">
        <f t="shared" si="3"/>
        <v>0.6363636363636364</v>
      </c>
      <c r="H21" s="41">
        <f t="shared" si="3"/>
        <v>0.8181818181818182</v>
      </c>
      <c r="I21" s="41">
        <f t="shared" si="3"/>
        <v>0.9090909090909091</v>
      </c>
      <c r="J21" s="41">
        <f t="shared" si="3"/>
        <v>1</v>
      </c>
      <c r="K21" s="41">
        <f t="shared" si="3"/>
        <v>1</v>
      </c>
      <c r="L21" s="41">
        <f t="shared" si="3"/>
        <v>1</v>
      </c>
      <c r="M21" s="41">
        <f t="shared" si="3"/>
        <v>1</v>
      </c>
      <c r="N21" s="41">
        <f t="shared" si="3"/>
        <v>1</v>
      </c>
      <c r="O21" s="41">
        <f t="shared" si="3"/>
        <v>1</v>
      </c>
      <c r="P21" s="41">
        <f t="shared" si="3"/>
        <v>1</v>
      </c>
      <c r="Q21" s="41">
        <f t="shared" si="3"/>
        <v>1</v>
      </c>
      <c r="R21" s="41">
        <f t="shared" si="3"/>
        <v>1</v>
      </c>
      <c r="S21" s="40">
        <f t="shared" si="3"/>
        <v>1</v>
      </c>
      <c r="T21" s="95">
        <f t="shared" si="3"/>
        <v>1</v>
      </c>
    </row>
    <row r="22" spans="1:22" ht="14.25">
      <c r="A22" s="30"/>
      <c r="B22" s="35" t="s">
        <v>121</v>
      </c>
      <c r="C22" s="40"/>
      <c r="D22" s="41"/>
      <c r="E22" s="41"/>
      <c r="F22" s="41"/>
      <c r="G22" s="41"/>
      <c r="H22" s="41"/>
      <c r="I22" s="41"/>
      <c r="J22" s="41"/>
      <c r="K22" s="41"/>
      <c r="L22" s="41"/>
      <c r="M22" s="41"/>
      <c r="N22" s="41"/>
      <c r="O22" s="41"/>
      <c r="P22" s="41"/>
      <c r="Q22" s="41"/>
      <c r="R22" s="41"/>
      <c r="S22" s="40"/>
      <c r="T22" s="95"/>
      <c r="V22" s="28" t="s">
        <v>122</v>
      </c>
    </row>
    <row r="23" spans="1:22" ht="13.5">
      <c r="A23" s="30" t="s">
        <v>101</v>
      </c>
      <c r="B23" s="34" t="s">
        <v>108</v>
      </c>
      <c r="C23" s="241">
        <f>SUM('Page 4'!B12:B17,'Page 4'!B24:B25)/12</f>
        <v>2160</v>
      </c>
      <c r="D23" s="50">
        <f aca="true" t="shared" si="4" ref="D23:H24">$C23-D$21*($C23-$T23)</f>
        <v>2046.8181818181818</v>
      </c>
      <c r="E23" s="50">
        <f t="shared" si="4"/>
        <v>1820.4545454545455</v>
      </c>
      <c r="F23" s="50">
        <f t="shared" si="4"/>
        <v>1594.090909090909</v>
      </c>
      <c r="G23" s="50">
        <f t="shared" si="4"/>
        <v>1367.7272727272727</v>
      </c>
      <c r="H23" s="50">
        <f t="shared" si="4"/>
        <v>1141.3636363636363</v>
      </c>
      <c r="I23" s="50">
        <f aca="true" t="shared" si="5" ref="I23:S24">$C23-I$21*($C23-$T23)</f>
        <v>1028.1818181818182</v>
      </c>
      <c r="J23" s="50">
        <f t="shared" si="5"/>
        <v>915</v>
      </c>
      <c r="K23" s="50">
        <f t="shared" si="5"/>
        <v>915</v>
      </c>
      <c r="L23" s="50">
        <f t="shared" si="5"/>
        <v>915</v>
      </c>
      <c r="M23" s="50">
        <f t="shared" si="5"/>
        <v>915</v>
      </c>
      <c r="N23" s="50">
        <f t="shared" si="5"/>
        <v>915</v>
      </c>
      <c r="O23" s="50">
        <f t="shared" si="5"/>
        <v>915</v>
      </c>
      <c r="P23" s="50">
        <f t="shared" si="5"/>
        <v>915</v>
      </c>
      <c r="Q23" s="50">
        <f t="shared" si="5"/>
        <v>915</v>
      </c>
      <c r="R23" s="50">
        <f t="shared" si="5"/>
        <v>915</v>
      </c>
      <c r="S23" s="49">
        <f t="shared" si="5"/>
        <v>915</v>
      </c>
      <c r="T23" s="243">
        <f>SUM('Page 4'!B36:B41,'Page 4'!B48:B49)/12</f>
        <v>915</v>
      </c>
      <c r="V23" s="28" t="s">
        <v>109</v>
      </c>
    </row>
    <row r="24" spans="1:22" ht="13.5">
      <c r="A24" s="30" t="s">
        <v>103</v>
      </c>
      <c r="B24" s="34" t="s">
        <v>110</v>
      </c>
      <c r="C24" s="241">
        <f>'Page 4'!B28/12-C23</f>
        <v>660</v>
      </c>
      <c r="D24" s="50">
        <f t="shared" si="4"/>
        <v>645</v>
      </c>
      <c r="E24" s="50">
        <f t="shared" si="4"/>
        <v>615</v>
      </c>
      <c r="F24" s="50">
        <f t="shared" si="4"/>
        <v>585</v>
      </c>
      <c r="G24" s="50">
        <f t="shared" si="4"/>
        <v>555</v>
      </c>
      <c r="H24" s="50">
        <f t="shared" si="4"/>
        <v>525</v>
      </c>
      <c r="I24" s="50">
        <f t="shared" si="5"/>
        <v>510</v>
      </c>
      <c r="J24" s="50">
        <f t="shared" si="5"/>
        <v>495</v>
      </c>
      <c r="K24" s="50">
        <f t="shared" si="5"/>
        <v>495</v>
      </c>
      <c r="L24" s="50">
        <f t="shared" si="5"/>
        <v>495</v>
      </c>
      <c r="M24" s="50">
        <f t="shared" si="5"/>
        <v>495</v>
      </c>
      <c r="N24" s="50">
        <f t="shared" si="5"/>
        <v>495</v>
      </c>
      <c r="O24" s="50">
        <f t="shared" si="5"/>
        <v>495</v>
      </c>
      <c r="P24" s="50">
        <f t="shared" si="5"/>
        <v>495</v>
      </c>
      <c r="Q24" s="50">
        <f t="shared" si="5"/>
        <v>495</v>
      </c>
      <c r="R24" s="50">
        <f t="shared" si="5"/>
        <v>495</v>
      </c>
      <c r="S24" s="49">
        <f t="shared" si="5"/>
        <v>495</v>
      </c>
      <c r="T24" s="243">
        <f>'Page 4'!B52/12-T23</f>
        <v>495</v>
      </c>
      <c r="V24" s="28" t="s">
        <v>111</v>
      </c>
    </row>
    <row r="25" spans="1:22" ht="13.5">
      <c r="A25" s="30" t="s">
        <v>104</v>
      </c>
      <c r="B25" s="34" t="s">
        <v>65</v>
      </c>
      <c r="C25" s="49">
        <f aca="true" t="shared" si="6" ref="C25:T25">SUM(C23:C24)</f>
        <v>2820</v>
      </c>
      <c r="D25" s="50">
        <f t="shared" si="6"/>
        <v>2691.818181818182</v>
      </c>
      <c r="E25" s="50">
        <f t="shared" si="6"/>
        <v>2435.4545454545455</v>
      </c>
      <c r="F25" s="50">
        <f t="shared" si="6"/>
        <v>2179.090909090909</v>
      </c>
      <c r="G25" s="50">
        <f t="shared" si="6"/>
        <v>1922.7272727272727</v>
      </c>
      <c r="H25" s="50">
        <f t="shared" si="6"/>
        <v>1666.3636363636363</v>
      </c>
      <c r="I25" s="50">
        <f t="shared" si="6"/>
        <v>1538.1818181818182</v>
      </c>
      <c r="J25" s="50">
        <f t="shared" si="6"/>
        <v>1410</v>
      </c>
      <c r="K25" s="50">
        <f t="shared" si="6"/>
        <v>1410</v>
      </c>
      <c r="L25" s="50">
        <f t="shared" si="6"/>
        <v>1410</v>
      </c>
      <c r="M25" s="50">
        <f t="shared" si="6"/>
        <v>1410</v>
      </c>
      <c r="N25" s="50">
        <f t="shared" si="6"/>
        <v>1410</v>
      </c>
      <c r="O25" s="50">
        <f t="shared" si="6"/>
        <v>1410</v>
      </c>
      <c r="P25" s="50">
        <f t="shared" si="6"/>
        <v>1410</v>
      </c>
      <c r="Q25" s="50">
        <f t="shared" si="6"/>
        <v>1410</v>
      </c>
      <c r="R25" s="50">
        <f t="shared" si="6"/>
        <v>1410</v>
      </c>
      <c r="S25" s="49">
        <f t="shared" si="6"/>
        <v>1410</v>
      </c>
      <c r="T25" s="92">
        <f t="shared" si="6"/>
        <v>1410</v>
      </c>
      <c r="V25" s="28"/>
    </row>
    <row r="26" spans="1:22" ht="14.25">
      <c r="A26" s="30" t="s">
        <v>112</v>
      </c>
      <c r="B26" s="36" t="s">
        <v>117</v>
      </c>
      <c r="C26" s="63">
        <f>C25/(30*C12)</f>
        <v>0.8952380952380953</v>
      </c>
      <c r="D26" s="64">
        <f aca="true" t="shared" si="7" ref="D26:T26">D25/(30*D12)</f>
        <v>0.8972727272727273</v>
      </c>
      <c r="E26" s="64">
        <f t="shared" si="7"/>
        <v>0.902020202020202</v>
      </c>
      <c r="F26" s="64">
        <f t="shared" si="7"/>
        <v>0.9079545454545455</v>
      </c>
      <c r="G26" s="64">
        <f t="shared" si="7"/>
        <v>0.9155844155844156</v>
      </c>
      <c r="H26" s="64">
        <f t="shared" si="7"/>
        <v>0.9257575757575757</v>
      </c>
      <c r="I26" s="64">
        <f t="shared" si="7"/>
        <v>0.9322314049586777</v>
      </c>
      <c r="J26" s="64">
        <f t="shared" si="7"/>
        <v>0.94</v>
      </c>
      <c r="K26" s="64">
        <f t="shared" si="7"/>
        <v>0.94</v>
      </c>
      <c r="L26" s="64">
        <f t="shared" si="7"/>
        <v>0.94</v>
      </c>
      <c r="M26" s="64">
        <f t="shared" si="7"/>
        <v>0.94</v>
      </c>
      <c r="N26" s="64">
        <f t="shared" si="7"/>
        <v>0.94</v>
      </c>
      <c r="O26" s="64">
        <f t="shared" si="7"/>
        <v>0.94</v>
      </c>
      <c r="P26" s="64">
        <f t="shared" si="7"/>
        <v>0.94</v>
      </c>
      <c r="Q26" s="64">
        <f t="shared" si="7"/>
        <v>0.94</v>
      </c>
      <c r="R26" s="64">
        <f t="shared" si="7"/>
        <v>0.94</v>
      </c>
      <c r="S26" s="63">
        <f t="shared" si="7"/>
        <v>0.94</v>
      </c>
      <c r="T26" s="94">
        <f t="shared" si="7"/>
        <v>0.94</v>
      </c>
      <c r="V26" s="39" t="s">
        <v>166</v>
      </c>
    </row>
    <row r="27" spans="1:22" ht="14.25">
      <c r="A27" s="30" t="s">
        <v>113</v>
      </c>
      <c r="B27" s="36" t="s">
        <v>119</v>
      </c>
      <c r="C27" s="63">
        <f>C23/C25</f>
        <v>0.7659574468085106</v>
      </c>
      <c r="D27" s="64">
        <f aca="true" t="shared" si="8" ref="D27:T27">D23/D25</f>
        <v>0.760385005065856</v>
      </c>
      <c r="E27" s="64">
        <f t="shared" si="8"/>
        <v>0.7474804031354984</v>
      </c>
      <c r="F27" s="64">
        <f t="shared" si="8"/>
        <v>0.7315394242803505</v>
      </c>
      <c r="G27" s="64">
        <f t="shared" si="8"/>
        <v>0.7113475177304964</v>
      </c>
      <c r="H27" s="64">
        <f t="shared" si="8"/>
        <v>0.6849427168576104</v>
      </c>
      <c r="I27" s="64">
        <f t="shared" si="8"/>
        <v>0.6684397163120568</v>
      </c>
      <c r="J27" s="64">
        <f t="shared" si="8"/>
        <v>0.648936170212766</v>
      </c>
      <c r="K27" s="64">
        <f t="shared" si="8"/>
        <v>0.648936170212766</v>
      </c>
      <c r="L27" s="64">
        <f t="shared" si="8"/>
        <v>0.648936170212766</v>
      </c>
      <c r="M27" s="64">
        <f t="shared" si="8"/>
        <v>0.648936170212766</v>
      </c>
      <c r="N27" s="64">
        <f t="shared" si="8"/>
        <v>0.648936170212766</v>
      </c>
      <c r="O27" s="64">
        <f t="shared" si="8"/>
        <v>0.648936170212766</v>
      </c>
      <c r="P27" s="64">
        <f t="shared" si="8"/>
        <v>0.648936170212766</v>
      </c>
      <c r="Q27" s="64">
        <f t="shared" si="8"/>
        <v>0.648936170212766</v>
      </c>
      <c r="R27" s="64">
        <f t="shared" si="8"/>
        <v>0.648936170212766</v>
      </c>
      <c r="S27" s="63">
        <f t="shared" si="8"/>
        <v>0.648936170212766</v>
      </c>
      <c r="T27" s="94">
        <f t="shared" si="8"/>
        <v>0.648936170212766</v>
      </c>
      <c r="V27" s="39" t="s">
        <v>167</v>
      </c>
    </row>
    <row r="28" spans="1:22" ht="14.25">
      <c r="A28" s="30"/>
      <c r="B28" s="36"/>
      <c r="C28" s="37"/>
      <c r="D28" s="38"/>
      <c r="E28" s="38"/>
      <c r="F28" s="38"/>
      <c r="G28" s="38"/>
      <c r="H28" s="38"/>
      <c r="I28" s="38"/>
      <c r="J28" s="38"/>
      <c r="K28" s="38"/>
      <c r="L28" s="38"/>
      <c r="M28" s="38"/>
      <c r="N28" s="38"/>
      <c r="O28" s="38"/>
      <c r="P28" s="38"/>
      <c r="Q28" s="38"/>
      <c r="R28" s="38"/>
      <c r="S28" s="37"/>
      <c r="T28" s="96"/>
      <c r="V28" s="39"/>
    </row>
    <row r="29" spans="1:22" ht="13.5">
      <c r="A29" s="30" t="s">
        <v>114</v>
      </c>
      <c r="B29" s="35" t="s">
        <v>123</v>
      </c>
      <c r="C29" s="49">
        <f>ROUND('Page 6'!$H$5*(C15-C23),0)</f>
        <v>0</v>
      </c>
      <c r="D29" s="50">
        <f>ROUND('Page 6'!$H$5*(D15-D23),0)</f>
        <v>17</v>
      </c>
      <c r="E29" s="50">
        <f>ROUND('Page 6'!$H$5*(E15-E23),0)</f>
        <v>51</v>
      </c>
      <c r="F29" s="50">
        <f>ROUND('Page 6'!$H$5*(F15-F23),0)</f>
        <v>85</v>
      </c>
      <c r="G29" s="50">
        <f>ROUND('Page 6'!$H$5*(G15-G23),0)</f>
        <v>119</v>
      </c>
      <c r="H29" s="50">
        <f>ROUND('Page 6'!$H$5*(H15-H23),0)</f>
        <v>153</v>
      </c>
      <c r="I29" s="50">
        <f>ROUND('Page 6'!$H$5*(I15-I23),0)</f>
        <v>170</v>
      </c>
      <c r="J29" s="50">
        <f>ROUND('Page 6'!$H$5*(J15-J23),0)</f>
        <v>187</v>
      </c>
      <c r="K29" s="50">
        <f>ROUND('Page 6'!$H$5*(K15-K23),0)</f>
        <v>187</v>
      </c>
      <c r="L29" s="50">
        <f>ROUND('Page 6'!$H$5*(L15-L23),0)</f>
        <v>187</v>
      </c>
      <c r="M29" s="50">
        <f>ROUND('Page 6'!$H$5*(M15-M23),0)</f>
        <v>187</v>
      </c>
      <c r="N29" s="50">
        <f>ROUND('Page 6'!$H$5*(N15-N23),0)</f>
        <v>187</v>
      </c>
      <c r="O29" s="50">
        <f>ROUND('Page 6'!$H$5*(O15-O23),0)</f>
        <v>187</v>
      </c>
      <c r="P29" s="50">
        <f>ROUND('Page 6'!$H$5*(P15-P23),0)</f>
        <v>187</v>
      </c>
      <c r="Q29" s="50">
        <f>ROUND('Page 6'!$H$5*(Q15-Q23),0)</f>
        <v>187</v>
      </c>
      <c r="R29" s="50">
        <f>ROUND('Page 6'!$H$5*(R15-R23),0)</f>
        <v>187</v>
      </c>
      <c r="S29" s="49">
        <f>ROUND('Page 6'!$H$5*(S15-S23),0)</f>
        <v>187</v>
      </c>
      <c r="T29" s="92">
        <f>ROUND('Page 6'!$H$5*(T15-T23),0)</f>
        <v>187</v>
      </c>
      <c r="V29" s="16" t="s">
        <v>124</v>
      </c>
    </row>
    <row r="30" spans="1:22" ht="13.5">
      <c r="A30" s="30" t="s">
        <v>116</v>
      </c>
      <c r="B30" s="35" t="s">
        <v>165</v>
      </c>
      <c r="C30" s="49">
        <f aca="true" t="shared" si="9" ref="C30:T30">C15-C23-C29</f>
        <v>0</v>
      </c>
      <c r="D30" s="50">
        <f t="shared" si="9"/>
        <v>96.18181818181824</v>
      </c>
      <c r="E30" s="50">
        <f t="shared" si="9"/>
        <v>288.5454545454545</v>
      </c>
      <c r="F30" s="50">
        <f t="shared" si="9"/>
        <v>480.909090909091</v>
      </c>
      <c r="G30" s="50">
        <f t="shared" si="9"/>
        <v>673.2727272727273</v>
      </c>
      <c r="H30" s="50">
        <f t="shared" si="9"/>
        <v>865.6363636363637</v>
      </c>
      <c r="I30" s="50">
        <f t="shared" si="9"/>
        <v>961.8181818181818</v>
      </c>
      <c r="J30" s="50">
        <f t="shared" si="9"/>
        <v>1058</v>
      </c>
      <c r="K30" s="50">
        <f t="shared" si="9"/>
        <v>1058</v>
      </c>
      <c r="L30" s="50">
        <f t="shared" si="9"/>
        <v>1058</v>
      </c>
      <c r="M30" s="50">
        <f t="shared" si="9"/>
        <v>1058</v>
      </c>
      <c r="N30" s="50">
        <f t="shared" si="9"/>
        <v>1058</v>
      </c>
      <c r="O30" s="50">
        <f t="shared" si="9"/>
        <v>1058</v>
      </c>
      <c r="P30" s="50">
        <f t="shared" si="9"/>
        <v>1058</v>
      </c>
      <c r="Q30" s="50">
        <f t="shared" si="9"/>
        <v>1058</v>
      </c>
      <c r="R30" s="50">
        <f t="shared" si="9"/>
        <v>1058</v>
      </c>
      <c r="S30" s="49">
        <f t="shared" si="9"/>
        <v>1058</v>
      </c>
      <c r="T30" s="92">
        <f t="shared" si="9"/>
        <v>1058</v>
      </c>
      <c r="V30" s="16" t="s">
        <v>124</v>
      </c>
    </row>
    <row r="31" spans="1:20" ht="14.25">
      <c r="A31" s="30"/>
      <c r="B31" s="42"/>
      <c r="C31"/>
      <c r="D31"/>
      <c r="E31"/>
      <c r="F31"/>
      <c r="G31"/>
      <c r="H31"/>
      <c r="I31"/>
      <c r="J31"/>
      <c r="K31"/>
      <c r="L31"/>
      <c r="M31"/>
      <c r="N31"/>
      <c r="O31"/>
      <c r="P31"/>
      <c r="Q31"/>
      <c r="R31"/>
      <c r="S31" s="84"/>
      <c r="T31" s="97"/>
    </row>
    <row r="32" spans="1:22" ht="13.5">
      <c r="A32" s="30" t="s">
        <v>118</v>
      </c>
      <c r="B32" s="31" t="s">
        <v>115</v>
      </c>
      <c r="C32" s="49">
        <f>C23+C29+C30</f>
        <v>2160</v>
      </c>
      <c r="D32" s="50">
        <f aca="true" t="shared" si="10" ref="D32:T32">D23+D29+D30</f>
        <v>2160</v>
      </c>
      <c r="E32" s="50">
        <f t="shared" si="10"/>
        <v>2160</v>
      </c>
      <c r="F32" s="50">
        <f t="shared" si="10"/>
        <v>2160</v>
      </c>
      <c r="G32" s="50">
        <f t="shared" si="10"/>
        <v>2160</v>
      </c>
      <c r="H32" s="50">
        <f t="shared" si="10"/>
        <v>2160</v>
      </c>
      <c r="I32" s="50">
        <f t="shared" si="10"/>
        <v>2160</v>
      </c>
      <c r="J32" s="50">
        <f t="shared" si="10"/>
        <v>2160</v>
      </c>
      <c r="K32" s="50">
        <f t="shared" si="10"/>
        <v>2160</v>
      </c>
      <c r="L32" s="50">
        <f t="shared" si="10"/>
        <v>2160</v>
      </c>
      <c r="M32" s="50">
        <f t="shared" si="10"/>
        <v>2160</v>
      </c>
      <c r="N32" s="50">
        <f t="shared" si="10"/>
        <v>2160</v>
      </c>
      <c r="O32" s="50">
        <f t="shared" si="10"/>
        <v>2160</v>
      </c>
      <c r="P32" s="50">
        <f t="shared" si="10"/>
        <v>2160</v>
      </c>
      <c r="Q32" s="50">
        <f t="shared" si="10"/>
        <v>2160</v>
      </c>
      <c r="R32" s="50">
        <f t="shared" si="10"/>
        <v>2160</v>
      </c>
      <c r="S32" s="49">
        <f t="shared" si="10"/>
        <v>2160</v>
      </c>
      <c r="T32" s="92">
        <f t="shared" si="10"/>
        <v>2160</v>
      </c>
      <c r="V32" s="28" t="s">
        <v>168</v>
      </c>
    </row>
    <row r="33" spans="1:20" ht="13.5">
      <c r="A33" s="30"/>
      <c r="B33" s="42"/>
      <c r="C33" s="29"/>
      <c r="S33" s="29"/>
      <c r="T33" s="91"/>
    </row>
    <row r="34" spans="1:20" ht="13.5">
      <c r="A34" s="27">
        <v>5</v>
      </c>
      <c r="B34" s="28" t="s">
        <v>128</v>
      </c>
      <c r="C34" s="29"/>
      <c r="S34" s="29"/>
      <c r="T34" s="91"/>
    </row>
    <row r="35" spans="1:22" ht="13.5">
      <c r="A35" s="30" t="s">
        <v>101</v>
      </c>
      <c r="B35" s="35" t="s">
        <v>129</v>
      </c>
      <c r="C35" s="245">
        <f>'Page 5'!B25</f>
        <v>165</v>
      </c>
      <c r="D35" s="73">
        <f>C35</f>
        <v>165</v>
      </c>
      <c r="E35" s="73">
        <f>D35</f>
        <v>165</v>
      </c>
      <c r="F35" s="73">
        <f>E35</f>
        <v>165</v>
      </c>
      <c r="G35" s="73">
        <f>F35</f>
        <v>165</v>
      </c>
      <c r="H35" s="73">
        <f>G35</f>
        <v>165</v>
      </c>
      <c r="I35" s="73">
        <f>H35</f>
        <v>165</v>
      </c>
      <c r="J35" s="73">
        <f>I35</f>
        <v>165</v>
      </c>
      <c r="K35" s="73">
        <f>J35</f>
        <v>165</v>
      </c>
      <c r="L35" s="73">
        <f>K35</f>
        <v>165</v>
      </c>
      <c r="M35" s="73">
        <f>L35</f>
        <v>165</v>
      </c>
      <c r="N35" s="73">
        <f>M35</f>
        <v>165</v>
      </c>
      <c r="O35" s="73">
        <f>N35</f>
        <v>165</v>
      </c>
      <c r="P35" s="73">
        <f>O35</f>
        <v>165</v>
      </c>
      <c r="Q35" s="73">
        <f>P35</f>
        <v>165</v>
      </c>
      <c r="R35" s="73">
        <f>Q35</f>
        <v>165</v>
      </c>
      <c r="S35" s="74">
        <f aca="true" t="shared" si="11" ref="S35:T37">R35</f>
        <v>165</v>
      </c>
      <c r="T35" s="98">
        <f t="shared" si="11"/>
        <v>165</v>
      </c>
      <c r="V35" s="28" t="s">
        <v>130</v>
      </c>
    </row>
    <row r="36" spans="1:22" ht="13.5">
      <c r="A36" s="30" t="s">
        <v>103</v>
      </c>
      <c r="B36" s="35" t="s">
        <v>131</v>
      </c>
      <c r="C36" s="75">
        <v>14.04459975619666</v>
      </c>
      <c r="D36" s="73">
        <f aca="true" t="shared" si="12" ref="D36:H37">C36</f>
        <v>14.04459975619666</v>
      </c>
      <c r="E36" s="73">
        <f t="shared" si="12"/>
        <v>14.04459975619666</v>
      </c>
      <c r="F36" s="73">
        <f t="shared" si="12"/>
        <v>14.04459975619666</v>
      </c>
      <c r="G36" s="73">
        <f t="shared" si="12"/>
        <v>14.04459975619666</v>
      </c>
      <c r="H36" s="73">
        <f t="shared" si="12"/>
        <v>14.04459975619666</v>
      </c>
      <c r="I36" s="73">
        <f>H36</f>
        <v>14.04459975619666</v>
      </c>
      <c r="J36" s="73">
        <f>I36</f>
        <v>14.04459975619666</v>
      </c>
      <c r="K36" s="73">
        <f>J36</f>
        <v>14.04459975619666</v>
      </c>
      <c r="L36" s="73">
        <f>K36</f>
        <v>14.04459975619666</v>
      </c>
      <c r="M36" s="73">
        <f>L36</f>
        <v>14.04459975619666</v>
      </c>
      <c r="N36" s="73">
        <f>M36</f>
        <v>14.04459975619666</v>
      </c>
      <c r="O36" s="73">
        <f>N36</f>
        <v>14.04459975619666</v>
      </c>
      <c r="P36" s="73">
        <f>O36</f>
        <v>14.04459975619666</v>
      </c>
      <c r="Q36" s="73">
        <f>P36</f>
        <v>14.04459975619666</v>
      </c>
      <c r="R36" s="73">
        <f>Q36</f>
        <v>14.04459975619666</v>
      </c>
      <c r="S36" s="74">
        <f t="shared" si="11"/>
        <v>14.04459975619666</v>
      </c>
      <c r="T36" s="98">
        <f t="shared" si="11"/>
        <v>14.04459975619666</v>
      </c>
      <c r="V36" s="16" t="s">
        <v>132</v>
      </c>
    </row>
    <row r="37" spans="1:22" ht="13.5">
      <c r="A37" s="30" t="s">
        <v>104</v>
      </c>
      <c r="B37" s="35" t="s">
        <v>133</v>
      </c>
      <c r="C37" s="75">
        <v>32.901480460920915</v>
      </c>
      <c r="D37" s="73">
        <f t="shared" si="12"/>
        <v>32.901480460920915</v>
      </c>
      <c r="E37" s="73">
        <f t="shared" si="12"/>
        <v>32.901480460920915</v>
      </c>
      <c r="F37" s="73">
        <f t="shared" si="12"/>
        <v>32.901480460920915</v>
      </c>
      <c r="G37" s="73">
        <f t="shared" si="12"/>
        <v>32.901480460920915</v>
      </c>
      <c r="H37" s="73">
        <f t="shared" si="12"/>
        <v>32.901480460920915</v>
      </c>
      <c r="I37" s="73">
        <f>H37</f>
        <v>32.901480460920915</v>
      </c>
      <c r="J37" s="73">
        <f>I37</f>
        <v>32.901480460920915</v>
      </c>
      <c r="K37" s="73">
        <f>J37</f>
        <v>32.901480460920915</v>
      </c>
      <c r="L37" s="73">
        <f>K37</f>
        <v>32.901480460920915</v>
      </c>
      <c r="M37" s="73">
        <f>L37</f>
        <v>32.901480460920915</v>
      </c>
      <c r="N37" s="73">
        <f>M37</f>
        <v>32.901480460920915</v>
      </c>
      <c r="O37" s="73">
        <f>N37</f>
        <v>32.901480460920915</v>
      </c>
      <c r="P37" s="73">
        <f>O37</f>
        <v>32.901480460920915</v>
      </c>
      <c r="Q37" s="73">
        <f>P37</f>
        <v>32.901480460920915</v>
      </c>
      <c r="R37" s="73">
        <f>Q37</f>
        <v>32.901480460920915</v>
      </c>
      <c r="S37" s="74">
        <f t="shared" si="11"/>
        <v>32.901480460920915</v>
      </c>
      <c r="T37" s="98">
        <f t="shared" si="11"/>
        <v>32.901480460920915</v>
      </c>
      <c r="V37" s="16" t="s">
        <v>132</v>
      </c>
    </row>
    <row r="38" spans="1:20" ht="13.5">
      <c r="A38" s="30"/>
      <c r="C38" s="29"/>
      <c r="S38" s="29"/>
      <c r="T38" s="91"/>
    </row>
    <row r="39" spans="1:20" ht="13.5">
      <c r="A39" s="27">
        <v>6</v>
      </c>
      <c r="B39" s="28" t="s">
        <v>134</v>
      </c>
      <c r="C39" s="29"/>
      <c r="S39" s="29"/>
      <c r="T39" s="91"/>
    </row>
    <row r="40" spans="1:22" ht="13.5">
      <c r="A40" s="30" t="s">
        <v>101</v>
      </c>
      <c r="B40" s="35" t="s">
        <v>129</v>
      </c>
      <c r="C40" s="245">
        <f>'Page 5'!B25</f>
        <v>165</v>
      </c>
      <c r="D40" s="73">
        <f>IF(D$8&lt;='Page 3'!$K$17,$C15*$C35/D23,IF(D9=1,$C$40,'Page 5'!$C$25))</f>
        <v>174.12391738840773</v>
      </c>
      <c r="E40" s="73">
        <f>IF(E$8&lt;='Page 3'!$K$17,$C15*$C35/E23,IF(E9=1,$C$40,'Page 5'!$C$25))</f>
        <v>195.7752808988764</v>
      </c>
      <c r="F40" s="73">
        <f>IF(F$8&lt;='Page 3'!$K$17,$C15*$C35/F23,IF(F9=1,$C$40,'Page 5'!$C$25))</f>
        <v>223.57570573139438</v>
      </c>
      <c r="G40" s="73">
        <f>IF(G$8&lt;='Page 3'!$K$17,$C15*$C35/G23,IF(G9=1,$C$40,'Page 5'!$C$25))</f>
        <v>260.5782652043868</v>
      </c>
      <c r="H40" s="73">
        <f>IF(H$8&lt;='Page 3'!$K$17,$C15*$C35/H23,IF(H9=1,$C$40,'Page 5'!$C$25))</f>
        <v>312.2580645161291</v>
      </c>
      <c r="I40" s="73">
        <f>IF(I$8&lt;='Page 3'!$K$17,$C15*$C35/I23,IF(I9=1,$C$40,'Page 5'!$C$25))</f>
        <v>346.631299734748</v>
      </c>
      <c r="J40" s="73">
        <f>IF(J$8&lt;='Page 3'!$K$17,$C15*$C35/J23,IF(J9=1,$C$40,'Page 5'!$C$25))</f>
        <v>175</v>
      </c>
      <c r="K40" s="73">
        <f>IF(K$8&lt;='Page 3'!$K$17,$C15*$C35/K23,IF(K9=1,$C$40,'Page 5'!$C$25))</f>
        <v>175</v>
      </c>
      <c r="L40" s="73">
        <f>IF(L$8&lt;='Page 3'!$K$17,$C15*$C35/L23,IF(L9=1,$C$40,'Page 5'!$C$25))</f>
        <v>175</v>
      </c>
      <c r="M40" s="73">
        <f>IF(M$8&lt;='Page 3'!$K$17,$C15*$C35/M23,IF(M9=1,$C$40,'Page 5'!$C$25))</f>
        <v>175</v>
      </c>
      <c r="N40" s="73">
        <f>IF(N$8&lt;='Page 3'!$K$17,$C15*$C35/N23,IF(N9=1,$C$40,'Page 5'!$C$25))</f>
        <v>175</v>
      </c>
      <c r="O40" s="73">
        <f>IF(O$8&lt;='Page 3'!$K$17,$C15*$C35/O23,IF(O9=1,$C$40,'Page 5'!$C$25))</f>
        <v>175</v>
      </c>
      <c r="P40" s="73">
        <f>IF(P$8&lt;='Page 3'!$K$17,$C15*$C35/P23,IF(P9=1,$C$40,'Page 5'!$C$25))</f>
        <v>175</v>
      </c>
      <c r="Q40" s="73">
        <f>IF(Q$8&lt;='Page 3'!$K$17,$C15*$C35/Q23,IF(Q9=1,$C$40,'Page 5'!$C$25))</f>
        <v>175</v>
      </c>
      <c r="R40" s="73">
        <f>IF(R$8&lt;='Page 3'!$K$17,$C15*$C35/R23,IF(R9=1,$C$40,'Page 5'!$C$25))</f>
        <v>175</v>
      </c>
      <c r="S40" s="74">
        <f>IF(S$8&lt;='Page 3'!$K$17,$C15*$C35/S23,IF(S9=1,$C$40,'Page 5'!$C$25))</f>
        <v>175</v>
      </c>
      <c r="T40" s="244">
        <f>'Page 5'!$C$25</f>
        <v>175</v>
      </c>
      <c r="V40" s="28" t="s">
        <v>135</v>
      </c>
    </row>
    <row r="41" spans="1:22" ht="13.5">
      <c r="A41" s="30" t="s">
        <v>103</v>
      </c>
      <c r="B41" s="35" t="s">
        <v>131</v>
      </c>
      <c r="C41" s="75">
        <v>14.04459975619666</v>
      </c>
      <c r="D41" s="73">
        <f aca="true" t="shared" si="13" ref="D41:H42">C41</f>
        <v>14.04459975619666</v>
      </c>
      <c r="E41" s="73">
        <f t="shared" si="13"/>
        <v>14.04459975619666</v>
      </c>
      <c r="F41" s="73">
        <f t="shared" si="13"/>
        <v>14.04459975619666</v>
      </c>
      <c r="G41" s="73">
        <f t="shared" si="13"/>
        <v>14.04459975619666</v>
      </c>
      <c r="H41" s="73">
        <f t="shared" si="13"/>
        <v>14.04459975619666</v>
      </c>
      <c r="I41" s="73">
        <f>H41</f>
        <v>14.04459975619666</v>
      </c>
      <c r="J41" s="73">
        <f>I41</f>
        <v>14.04459975619666</v>
      </c>
      <c r="K41" s="73">
        <f>J41</f>
        <v>14.04459975619666</v>
      </c>
      <c r="L41" s="73">
        <f>K41</f>
        <v>14.04459975619666</v>
      </c>
      <c r="M41" s="73">
        <f>L41</f>
        <v>14.04459975619666</v>
      </c>
      <c r="N41" s="73">
        <f>M41</f>
        <v>14.04459975619666</v>
      </c>
      <c r="O41" s="73">
        <f>N41</f>
        <v>14.04459975619666</v>
      </c>
      <c r="P41" s="73">
        <f>O41</f>
        <v>14.04459975619666</v>
      </c>
      <c r="Q41" s="73">
        <f>P41</f>
        <v>14.04459975619666</v>
      </c>
      <c r="R41" s="73">
        <f>Q41</f>
        <v>14.04459975619666</v>
      </c>
      <c r="S41" s="74">
        <f>R41</f>
        <v>14.04459975619666</v>
      </c>
      <c r="T41" s="98">
        <f>S41</f>
        <v>14.04459975619666</v>
      </c>
      <c r="V41" s="28" t="s">
        <v>169</v>
      </c>
    </row>
    <row r="42" spans="1:22" ht="13.5">
      <c r="A42" s="30" t="s">
        <v>104</v>
      </c>
      <c r="B42" s="35" t="s">
        <v>133</v>
      </c>
      <c r="C42" s="75">
        <v>32.901480460920915</v>
      </c>
      <c r="D42" s="73">
        <f t="shared" si="13"/>
        <v>32.901480460920915</v>
      </c>
      <c r="E42" s="73">
        <f t="shared" si="13"/>
        <v>32.901480460920915</v>
      </c>
      <c r="F42" s="73">
        <f t="shared" si="13"/>
        <v>32.901480460920915</v>
      </c>
      <c r="G42" s="73">
        <f t="shared" si="13"/>
        <v>32.901480460920915</v>
      </c>
      <c r="H42" s="73">
        <f t="shared" si="13"/>
        <v>32.901480460920915</v>
      </c>
      <c r="I42" s="73">
        <f>H42</f>
        <v>32.901480460920915</v>
      </c>
      <c r="J42" s="73">
        <f>I42</f>
        <v>32.901480460920915</v>
      </c>
      <c r="K42" s="73">
        <f>J42</f>
        <v>32.901480460920915</v>
      </c>
      <c r="L42" s="73">
        <f>K42</f>
        <v>32.901480460920915</v>
      </c>
      <c r="M42" s="73">
        <f>L42</f>
        <v>32.901480460920915</v>
      </c>
      <c r="N42" s="73">
        <f>M42</f>
        <v>32.901480460920915</v>
      </c>
      <c r="O42" s="73">
        <f>N42</f>
        <v>32.901480460920915</v>
      </c>
      <c r="P42" s="73">
        <f>O42</f>
        <v>32.901480460920915</v>
      </c>
      <c r="Q42" s="73">
        <f>P42</f>
        <v>32.901480460920915</v>
      </c>
      <c r="R42" s="73">
        <f>Q42</f>
        <v>32.901480460920915</v>
      </c>
      <c r="S42" s="74">
        <f>R42</f>
        <v>32.901480460920915</v>
      </c>
      <c r="T42" s="98">
        <f>S42</f>
        <v>32.901480460920915</v>
      </c>
      <c r="V42" s="28" t="s">
        <v>136</v>
      </c>
    </row>
    <row r="43" spans="1:22" ht="13.5">
      <c r="A43" s="30" t="s">
        <v>112</v>
      </c>
      <c r="B43" s="35" t="s">
        <v>137</v>
      </c>
      <c r="C43" s="75">
        <v>94.9437673437925</v>
      </c>
      <c r="D43" s="73">
        <f>C43</f>
        <v>94.9437673437925</v>
      </c>
      <c r="E43" s="73">
        <f>D43</f>
        <v>94.9437673437925</v>
      </c>
      <c r="F43" s="73">
        <f>E43</f>
        <v>94.9437673437925</v>
      </c>
      <c r="G43" s="73">
        <f>F43</f>
        <v>94.9437673437925</v>
      </c>
      <c r="H43" s="73">
        <f>G43</f>
        <v>94.9437673437925</v>
      </c>
      <c r="I43" s="73">
        <f>H43</f>
        <v>94.9437673437925</v>
      </c>
      <c r="J43" s="73">
        <f>I43</f>
        <v>94.9437673437925</v>
      </c>
      <c r="K43" s="73">
        <f>J43</f>
        <v>94.9437673437925</v>
      </c>
      <c r="L43" s="73">
        <f>K43</f>
        <v>94.9437673437925</v>
      </c>
      <c r="M43" s="73">
        <f>L43</f>
        <v>94.9437673437925</v>
      </c>
      <c r="N43" s="73">
        <f>M43</f>
        <v>94.9437673437925</v>
      </c>
      <c r="O43" s="73">
        <f>N43</f>
        <v>94.9437673437925</v>
      </c>
      <c r="P43" s="73">
        <f>O43</f>
        <v>94.9437673437925</v>
      </c>
      <c r="Q43" s="73">
        <f>P43</f>
        <v>94.9437673437925</v>
      </c>
      <c r="R43" s="73">
        <f>Q43</f>
        <v>94.9437673437925</v>
      </c>
      <c r="S43" s="74">
        <f>R43</f>
        <v>94.9437673437925</v>
      </c>
      <c r="T43" s="98">
        <f>S43</f>
        <v>94.9437673437925</v>
      </c>
      <c r="V43" s="16" t="s">
        <v>132</v>
      </c>
    </row>
    <row r="44" spans="1:22" ht="13.5">
      <c r="A44" s="30" t="s">
        <v>113</v>
      </c>
      <c r="B44" s="35" t="s">
        <v>138</v>
      </c>
      <c r="C44" s="75">
        <v>12.494243221184364</v>
      </c>
      <c r="D44" s="73">
        <f>C44</f>
        <v>12.494243221184364</v>
      </c>
      <c r="E44" s="73">
        <f>D44</f>
        <v>12.494243221184364</v>
      </c>
      <c r="F44" s="73">
        <f>E44</f>
        <v>12.494243221184364</v>
      </c>
      <c r="G44" s="73">
        <f>F44</f>
        <v>12.494243221184364</v>
      </c>
      <c r="H44" s="73">
        <f>G44</f>
        <v>12.494243221184364</v>
      </c>
      <c r="I44" s="73">
        <f>H44</f>
        <v>12.494243221184364</v>
      </c>
      <c r="J44" s="73">
        <f>I44</f>
        <v>12.494243221184364</v>
      </c>
      <c r="K44" s="73">
        <f>J44</f>
        <v>12.494243221184364</v>
      </c>
      <c r="L44" s="73">
        <f>K44</f>
        <v>12.494243221184364</v>
      </c>
      <c r="M44" s="73">
        <f>L44</f>
        <v>12.494243221184364</v>
      </c>
      <c r="N44" s="73">
        <f>M44</f>
        <v>12.494243221184364</v>
      </c>
      <c r="O44" s="73">
        <f>N44</f>
        <v>12.494243221184364</v>
      </c>
      <c r="P44" s="73">
        <f>O44</f>
        <v>12.494243221184364</v>
      </c>
      <c r="Q44" s="73">
        <f>P44</f>
        <v>12.494243221184364</v>
      </c>
      <c r="R44" s="73">
        <f>Q44</f>
        <v>12.494243221184364</v>
      </c>
      <c r="S44" s="74">
        <f>R44</f>
        <v>12.494243221184364</v>
      </c>
      <c r="T44" s="98">
        <f>S44</f>
        <v>12.494243221184364</v>
      </c>
      <c r="V44" s="16" t="s">
        <v>132</v>
      </c>
    </row>
    <row r="45" spans="1:20" ht="13.5">
      <c r="A45" s="30"/>
      <c r="C45" s="43"/>
      <c r="D45" s="44"/>
      <c r="E45" s="44"/>
      <c r="F45" s="44"/>
      <c r="G45" s="44"/>
      <c r="H45" s="44"/>
      <c r="I45" s="44"/>
      <c r="J45" s="44"/>
      <c r="K45" s="44"/>
      <c r="L45" s="44"/>
      <c r="M45" s="44"/>
      <c r="N45" s="44"/>
      <c r="O45" s="44"/>
      <c r="P45" s="44"/>
      <c r="Q45" s="44"/>
      <c r="R45" s="44"/>
      <c r="S45" s="43"/>
      <c r="T45" s="99"/>
    </row>
    <row r="46" spans="1:22" ht="13.5">
      <c r="A46" s="27">
        <v>7</v>
      </c>
      <c r="B46" s="16" t="s">
        <v>139</v>
      </c>
      <c r="C46" s="76">
        <v>170</v>
      </c>
      <c r="D46" s="77">
        <f>C46</f>
        <v>170</v>
      </c>
      <c r="E46" s="77">
        <f>D46</f>
        <v>170</v>
      </c>
      <c r="F46" s="77">
        <f>E46</f>
        <v>170</v>
      </c>
      <c r="G46" s="77">
        <f>F46</f>
        <v>170</v>
      </c>
      <c r="H46" s="77">
        <f>G46</f>
        <v>170</v>
      </c>
      <c r="I46" s="77">
        <f aca="true" t="shared" si="14" ref="I46:T46">H46</f>
        <v>170</v>
      </c>
      <c r="J46" s="77">
        <f t="shared" si="14"/>
        <v>170</v>
      </c>
      <c r="K46" s="77">
        <f t="shared" si="14"/>
        <v>170</v>
      </c>
      <c r="L46" s="77">
        <f t="shared" si="14"/>
        <v>170</v>
      </c>
      <c r="M46" s="77">
        <f t="shared" si="14"/>
        <v>170</v>
      </c>
      <c r="N46" s="77">
        <f t="shared" si="14"/>
        <v>170</v>
      </c>
      <c r="O46" s="77">
        <f t="shared" si="14"/>
        <v>170</v>
      </c>
      <c r="P46" s="77">
        <f t="shared" si="14"/>
        <v>170</v>
      </c>
      <c r="Q46" s="77">
        <f t="shared" si="14"/>
        <v>170</v>
      </c>
      <c r="R46" s="77">
        <f t="shared" si="14"/>
        <v>170</v>
      </c>
      <c r="S46" s="78">
        <f t="shared" si="14"/>
        <v>170</v>
      </c>
      <c r="T46" s="100">
        <f t="shared" si="14"/>
        <v>170</v>
      </c>
      <c r="V46" s="16" t="s">
        <v>132</v>
      </c>
    </row>
    <row r="47" spans="1:20" ht="13.5">
      <c r="A47" s="30"/>
      <c r="C47" s="43"/>
      <c r="D47" s="44"/>
      <c r="E47" s="44"/>
      <c r="F47" s="44"/>
      <c r="G47" s="44"/>
      <c r="H47" s="44"/>
      <c r="I47" s="44"/>
      <c r="J47" s="44"/>
      <c r="K47" s="44"/>
      <c r="L47" s="44"/>
      <c r="M47" s="44"/>
      <c r="N47" s="44"/>
      <c r="O47" s="44"/>
      <c r="P47" s="44"/>
      <c r="Q47" s="44"/>
      <c r="R47" s="44"/>
      <c r="S47" s="43"/>
      <c r="T47" s="99"/>
    </row>
    <row r="48" spans="1:22" ht="13.5">
      <c r="A48" s="27">
        <v>8</v>
      </c>
      <c r="B48" s="16" t="s">
        <v>70</v>
      </c>
      <c r="C48" s="79">
        <v>0.6</v>
      </c>
      <c r="D48" s="80">
        <f>C48</f>
        <v>0.6</v>
      </c>
      <c r="E48" s="80">
        <f>D48</f>
        <v>0.6</v>
      </c>
      <c r="F48" s="80">
        <f>E48</f>
        <v>0.6</v>
      </c>
      <c r="G48" s="80">
        <f>F48</f>
        <v>0.6</v>
      </c>
      <c r="H48" s="80">
        <f>G48</f>
        <v>0.6</v>
      </c>
      <c r="I48" s="80">
        <f aca="true" t="shared" si="15" ref="I48:T48">H48</f>
        <v>0.6</v>
      </c>
      <c r="J48" s="80">
        <f t="shared" si="15"/>
        <v>0.6</v>
      </c>
      <c r="K48" s="80">
        <f t="shared" si="15"/>
        <v>0.6</v>
      </c>
      <c r="L48" s="80">
        <f t="shared" si="15"/>
        <v>0.6</v>
      </c>
      <c r="M48" s="80">
        <f t="shared" si="15"/>
        <v>0.6</v>
      </c>
      <c r="N48" s="80">
        <f t="shared" si="15"/>
        <v>0.6</v>
      </c>
      <c r="O48" s="80">
        <f t="shared" si="15"/>
        <v>0.6</v>
      </c>
      <c r="P48" s="80">
        <f t="shared" si="15"/>
        <v>0.6</v>
      </c>
      <c r="Q48" s="80">
        <f t="shared" si="15"/>
        <v>0.6</v>
      </c>
      <c r="R48" s="80">
        <f t="shared" si="15"/>
        <v>0.6</v>
      </c>
      <c r="S48" s="81">
        <f t="shared" si="15"/>
        <v>0.6</v>
      </c>
      <c r="T48" s="101">
        <f t="shared" si="15"/>
        <v>0.6</v>
      </c>
      <c r="V48" s="16" t="s">
        <v>132</v>
      </c>
    </row>
    <row r="49" spans="1:20" ht="13.5">
      <c r="A49" s="30"/>
      <c r="C49" s="29"/>
      <c r="S49" s="29"/>
      <c r="T49" s="91"/>
    </row>
    <row r="50" spans="1:20" ht="13.5">
      <c r="A50" s="30"/>
      <c r="B50" s="45" t="s">
        <v>140</v>
      </c>
      <c r="C50" s="29"/>
      <c r="S50" s="29"/>
      <c r="T50" s="91"/>
    </row>
    <row r="51" spans="1:20" ht="13.5">
      <c r="A51" s="30"/>
      <c r="C51" s="29"/>
      <c r="S51" s="29"/>
      <c r="T51" s="91"/>
    </row>
    <row r="52" spans="1:20" ht="13.5">
      <c r="A52" s="27">
        <v>9</v>
      </c>
      <c r="B52" s="16" t="s">
        <v>141</v>
      </c>
      <c r="C52" s="29"/>
      <c r="S52" s="29"/>
      <c r="T52" s="91"/>
    </row>
    <row r="53" spans="1:22" ht="13.5">
      <c r="A53" s="30" t="s">
        <v>101</v>
      </c>
      <c r="B53" s="31" t="s">
        <v>142</v>
      </c>
      <c r="C53" s="49">
        <f aca="true" t="shared" si="16" ref="C53:T53">-C10*C46</f>
        <v>-17850</v>
      </c>
      <c r="D53" s="50">
        <f t="shared" si="16"/>
        <v>-17850</v>
      </c>
      <c r="E53" s="50">
        <f t="shared" si="16"/>
        <v>-17850</v>
      </c>
      <c r="F53" s="50">
        <f t="shared" si="16"/>
        <v>-17850</v>
      </c>
      <c r="G53" s="50">
        <f t="shared" si="16"/>
        <v>-17850</v>
      </c>
      <c r="H53" s="50">
        <f t="shared" si="16"/>
        <v>-17850</v>
      </c>
      <c r="I53" s="50">
        <f t="shared" si="16"/>
        <v>-17850</v>
      </c>
      <c r="J53" s="50">
        <f t="shared" si="16"/>
        <v>-17850</v>
      </c>
      <c r="K53" s="50">
        <f t="shared" si="16"/>
        <v>-17850</v>
      </c>
      <c r="L53" s="50">
        <f t="shared" si="16"/>
        <v>-17850</v>
      </c>
      <c r="M53" s="50">
        <f t="shared" si="16"/>
        <v>-17850</v>
      </c>
      <c r="N53" s="50">
        <f t="shared" si="16"/>
        <v>-17850</v>
      </c>
      <c r="O53" s="50">
        <f t="shared" si="16"/>
        <v>-17850</v>
      </c>
      <c r="P53" s="50">
        <f t="shared" si="16"/>
        <v>-17850</v>
      </c>
      <c r="Q53" s="50">
        <f t="shared" si="16"/>
        <v>-17850</v>
      </c>
      <c r="R53" s="50">
        <f t="shared" si="16"/>
        <v>-17850</v>
      </c>
      <c r="S53" s="49">
        <f t="shared" si="16"/>
        <v>-17850</v>
      </c>
      <c r="T53" s="92">
        <f t="shared" si="16"/>
        <v>-17850</v>
      </c>
      <c r="V53" s="28" t="s">
        <v>170</v>
      </c>
    </row>
    <row r="54" spans="1:22" ht="13.5">
      <c r="A54" s="30" t="s">
        <v>103</v>
      </c>
      <c r="B54" s="35" t="s">
        <v>162</v>
      </c>
      <c r="C54" s="49">
        <f>C15*C35</f>
        <v>356400</v>
      </c>
      <c r="D54" s="50">
        <f aca="true" t="shared" si="17" ref="D54:T54">D15*D35</f>
        <v>356400</v>
      </c>
      <c r="E54" s="50">
        <f t="shared" si="17"/>
        <v>356400</v>
      </c>
      <c r="F54" s="50">
        <f t="shared" si="17"/>
        <v>356400</v>
      </c>
      <c r="G54" s="50">
        <f t="shared" si="17"/>
        <v>356400</v>
      </c>
      <c r="H54" s="50">
        <f t="shared" si="17"/>
        <v>356400</v>
      </c>
      <c r="I54" s="50">
        <f t="shared" si="17"/>
        <v>356400</v>
      </c>
      <c r="J54" s="50">
        <f t="shared" si="17"/>
        <v>356400</v>
      </c>
      <c r="K54" s="50">
        <f t="shared" si="17"/>
        <v>356400</v>
      </c>
      <c r="L54" s="50">
        <f t="shared" si="17"/>
        <v>356400</v>
      </c>
      <c r="M54" s="50">
        <f t="shared" si="17"/>
        <v>356400</v>
      </c>
      <c r="N54" s="50">
        <f t="shared" si="17"/>
        <v>356400</v>
      </c>
      <c r="O54" s="50">
        <f t="shared" si="17"/>
        <v>356400</v>
      </c>
      <c r="P54" s="50">
        <f t="shared" si="17"/>
        <v>356400</v>
      </c>
      <c r="Q54" s="50">
        <f t="shared" si="17"/>
        <v>356400</v>
      </c>
      <c r="R54" s="50">
        <f t="shared" si="17"/>
        <v>356400</v>
      </c>
      <c r="S54" s="49">
        <f t="shared" si="17"/>
        <v>356400</v>
      </c>
      <c r="T54" s="92">
        <f t="shared" si="17"/>
        <v>356400</v>
      </c>
      <c r="V54" s="28" t="s">
        <v>171</v>
      </c>
    </row>
    <row r="55" spans="1:22" ht="13.5">
      <c r="A55" s="30" t="s">
        <v>104</v>
      </c>
      <c r="B55" s="42" t="s">
        <v>63</v>
      </c>
      <c r="C55" s="49">
        <f>-C15*C37</f>
        <v>-71067.19779558918</v>
      </c>
      <c r="D55" s="50">
        <f aca="true" t="shared" si="18" ref="D55:T55">-D15*D37</f>
        <v>-71067.19779558918</v>
      </c>
      <c r="E55" s="50">
        <f t="shared" si="18"/>
        <v>-71067.19779558918</v>
      </c>
      <c r="F55" s="50">
        <f t="shared" si="18"/>
        <v>-71067.19779558918</v>
      </c>
      <c r="G55" s="50">
        <f t="shared" si="18"/>
        <v>-71067.19779558918</v>
      </c>
      <c r="H55" s="50">
        <f t="shared" si="18"/>
        <v>-71067.19779558918</v>
      </c>
      <c r="I55" s="50">
        <f t="shared" si="18"/>
        <v>-71067.19779558918</v>
      </c>
      <c r="J55" s="50">
        <f t="shared" si="18"/>
        <v>-71067.19779558918</v>
      </c>
      <c r="K55" s="50">
        <f t="shared" si="18"/>
        <v>-71067.19779558918</v>
      </c>
      <c r="L55" s="50">
        <f t="shared" si="18"/>
        <v>-71067.19779558918</v>
      </c>
      <c r="M55" s="50">
        <f t="shared" si="18"/>
        <v>-71067.19779558918</v>
      </c>
      <c r="N55" s="50">
        <f t="shared" si="18"/>
        <v>-71067.19779558918</v>
      </c>
      <c r="O55" s="50">
        <f t="shared" si="18"/>
        <v>-71067.19779558918</v>
      </c>
      <c r="P55" s="50">
        <f t="shared" si="18"/>
        <v>-71067.19779558918</v>
      </c>
      <c r="Q55" s="50">
        <f t="shared" si="18"/>
        <v>-71067.19779558918</v>
      </c>
      <c r="R55" s="50">
        <f t="shared" si="18"/>
        <v>-71067.19779558918</v>
      </c>
      <c r="S55" s="49">
        <f t="shared" si="18"/>
        <v>-71067.19779558918</v>
      </c>
      <c r="T55" s="92">
        <f t="shared" si="18"/>
        <v>-71067.19779558918</v>
      </c>
      <c r="V55" s="28" t="s">
        <v>172</v>
      </c>
    </row>
    <row r="56" spans="1:22" ht="13.5">
      <c r="A56" s="30" t="s">
        <v>112</v>
      </c>
      <c r="B56" s="42" t="s">
        <v>143</v>
      </c>
      <c r="C56" s="49">
        <f>C15*C36</f>
        <v>30336.33547338479</v>
      </c>
      <c r="D56" s="50">
        <f aca="true" t="shared" si="19" ref="D56:T56">D15*D36</f>
        <v>30336.33547338479</v>
      </c>
      <c r="E56" s="50">
        <f t="shared" si="19"/>
        <v>30336.33547338479</v>
      </c>
      <c r="F56" s="50">
        <f t="shared" si="19"/>
        <v>30336.33547338479</v>
      </c>
      <c r="G56" s="50">
        <f t="shared" si="19"/>
        <v>30336.33547338479</v>
      </c>
      <c r="H56" s="50">
        <f t="shared" si="19"/>
        <v>30336.33547338479</v>
      </c>
      <c r="I56" s="50">
        <f t="shared" si="19"/>
        <v>30336.33547338479</v>
      </c>
      <c r="J56" s="50">
        <f t="shared" si="19"/>
        <v>30336.33547338479</v>
      </c>
      <c r="K56" s="50">
        <f t="shared" si="19"/>
        <v>30336.33547338479</v>
      </c>
      <c r="L56" s="50">
        <f t="shared" si="19"/>
        <v>30336.33547338479</v>
      </c>
      <c r="M56" s="50">
        <f t="shared" si="19"/>
        <v>30336.33547338479</v>
      </c>
      <c r="N56" s="50">
        <f t="shared" si="19"/>
        <v>30336.33547338479</v>
      </c>
      <c r="O56" s="50">
        <f t="shared" si="19"/>
        <v>30336.33547338479</v>
      </c>
      <c r="P56" s="50">
        <f t="shared" si="19"/>
        <v>30336.33547338479</v>
      </c>
      <c r="Q56" s="50">
        <f t="shared" si="19"/>
        <v>30336.33547338479</v>
      </c>
      <c r="R56" s="50">
        <f t="shared" si="19"/>
        <v>30336.33547338479</v>
      </c>
      <c r="S56" s="49">
        <f t="shared" si="19"/>
        <v>30336.33547338479</v>
      </c>
      <c r="T56" s="92">
        <f t="shared" si="19"/>
        <v>30336.33547338479</v>
      </c>
      <c r="V56" s="28" t="s">
        <v>173</v>
      </c>
    </row>
    <row r="57" spans="1:22" ht="13.5">
      <c r="A57" s="30" t="s">
        <v>113</v>
      </c>
      <c r="B57" s="31" t="s">
        <v>144</v>
      </c>
      <c r="C57" s="49">
        <f>-SUM(C54:C56)*C48</f>
        <v>-189401.48260667737</v>
      </c>
      <c r="D57" s="50">
        <f>-SUM(D54:D56)*D48</f>
        <v>-189401.48260667737</v>
      </c>
      <c r="E57" s="50">
        <f>-SUM(E54:E56)*E48</f>
        <v>-189401.48260667737</v>
      </c>
      <c r="F57" s="50">
        <f>-SUM(F54:F56)*F48</f>
        <v>-189401.48260667737</v>
      </c>
      <c r="G57" s="50">
        <f>-SUM(G54:G56)*G48</f>
        <v>-189401.48260667737</v>
      </c>
      <c r="H57" s="50">
        <f>-SUM(H54:H56)*H48</f>
        <v>-189401.48260667737</v>
      </c>
      <c r="I57" s="50">
        <f aca="true" t="shared" si="20" ref="I57:S57">-SUM(I54:I56)*I48</f>
        <v>-189401.48260667737</v>
      </c>
      <c r="J57" s="50">
        <f t="shared" si="20"/>
        <v>-189401.48260667737</v>
      </c>
      <c r="K57" s="50">
        <f t="shared" si="20"/>
        <v>-189401.48260667737</v>
      </c>
      <c r="L57" s="50">
        <f t="shared" si="20"/>
        <v>-189401.48260667737</v>
      </c>
      <c r="M57" s="50">
        <f t="shared" si="20"/>
        <v>-189401.48260667737</v>
      </c>
      <c r="N57" s="50">
        <f t="shared" si="20"/>
        <v>-189401.48260667737</v>
      </c>
      <c r="O57" s="50">
        <f t="shared" si="20"/>
        <v>-189401.48260667737</v>
      </c>
      <c r="P57" s="50">
        <f t="shared" si="20"/>
        <v>-189401.48260667737</v>
      </c>
      <c r="Q57" s="50">
        <f t="shared" si="20"/>
        <v>-189401.48260667737</v>
      </c>
      <c r="R57" s="50">
        <f t="shared" si="20"/>
        <v>-189401.48260667737</v>
      </c>
      <c r="S57" s="49">
        <f t="shared" si="20"/>
        <v>-189401.48260667737</v>
      </c>
      <c r="T57" s="92">
        <f>-SUM(T54:T56)*T48</f>
        <v>-189401.48260667737</v>
      </c>
      <c r="V57" s="16" t="s">
        <v>145</v>
      </c>
    </row>
    <row r="58" spans="1:22" ht="13.5">
      <c r="A58" s="30" t="s">
        <v>114</v>
      </c>
      <c r="B58" s="31" t="s">
        <v>65</v>
      </c>
      <c r="C58" s="82">
        <f>SUM(C53:C57)</f>
        <v>108417.65507111824</v>
      </c>
      <c r="D58" s="83">
        <f>SUM(D53:D57)</f>
        <v>108417.65507111824</v>
      </c>
      <c r="E58" s="83">
        <f>SUM(E53:E57)</f>
        <v>108417.65507111824</v>
      </c>
      <c r="F58" s="83">
        <f>SUM(F53:F57)</f>
        <v>108417.65507111824</v>
      </c>
      <c r="G58" s="83">
        <f>SUM(G53:G57)</f>
        <v>108417.65507111824</v>
      </c>
      <c r="H58" s="83">
        <f>SUM(H53:H57)</f>
        <v>108417.65507111824</v>
      </c>
      <c r="I58" s="83">
        <f aca="true" t="shared" si="21" ref="I58:S58">SUM(I53:I57)</f>
        <v>108417.65507111824</v>
      </c>
      <c r="J58" s="83">
        <f t="shared" si="21"/>
        <v>108417.65507111824</v>
      </c>
      <c r="K58" s="83">
        <f t="shared" si="21"/>
        <v>108417.65507111824</v>
      </c>
      <c r="L58" s="83">
        <f t="shared" si="21"/>
        <v>108417.65507111824</v>
      </c>
      <c r="M58" s="83">
        <f t="shared" si="21"/>
        <v>108417.65507111824</v>
      </c>
      <c r="N58" s="83">
        <f t="shared" si="21"/>
        <v>108417.65507111824</v>
      </c>
      <c r="O58" s="83">
        <f t="shared" si="21"/>
        <v>108417.65507111824</v>
      </c>
      <c r="P58" s="83">
        <f t="shared" si="21"/>
        <v>108417.65507111824</v>
      </c>
      <c r="Q58" s="83">
        <f t="shared" si="21"/>
        <v>108417.65507111824</v>
      </c>
      <c r="R58" s="83">
        <f t="shared" si="21"/>
        <v>108417.65507111824</v>
      </c>
      <c r="S58" s="82">
        <f t="shared" si="21"/>
        <v>108417.65507111824</v>
      </c>
      <c r="T58" s="102">
        <f>SUM(T53:T57)</f>
        <v>108417.65507111824</v>
      </c>
      <c r="V58" s="16" t="s">
        <v>146</v>
      </c>
    </row>
    <row r="59" spans="1:20" ht="13.5">
      <c r="A59" s="30"/>
      <c r="C59" s="29"/>
      <c r="S59" s="29"/>
      <c r="T59" s="91"/>
    </row>
    <row r="60" spans="1:20" ht="13.5">
      <c r="A60" s="27">
        <v>10</v>
      </c>
      <c r="B60" s="16" t="s">
        <v>147</v>
      </c>
      <c r="C60" s="29"/>
      <c r="S60" s="29"/>
      <c r="T60" s="91"/>
    </row>
    <row r="61" spans="1:22" ht="13.5">
      <c r="A61" s="30" t="s">
        <v>101</v>
      </c>
      <c r="B61" s="31" t="s">
        <v>142</v>
      </c>
      <c r="C61" s="49">
        <f>-C12*C46</f>
        <v>-17850</v>
      </c>
      <c r="D61" s="50">
        <f aca="true" t="shared" si="22" ref="D61:T61">-D12*D46</f>
        <v>-17000</v>
      </c>
      <c r="E61" s="50">
        <f t="shared" si="22"/>
        <v>-15300</v>
      </c>
      <c r="F61" s="50">
        <f t="shared" si="22"/>
        <v>-13600</v>
      </c>
      <c r="G61" s="50">
        <f t="shared" si="22"/>
        <v>-11900</v>
      </c>
      <c r="H61" s="50">
        <f t="shared" si="22"/>
        <v>-10200</v>
      </c>
      <c r="I61" s="50">
        <f t="shared" si="22"/>
        <v>-9350</v>
      </c>
      <c r="J61" s="50">
        <f t="shared" si="22"/>
        <v>-8500</v>
      </c>
      <c r="K61" s="50">
        <f t="shared" si="22"/>
        <v>-8500</v>
      </c>
      <c r="L61" s="50">
        <f t="shared" si="22"/>
        <v>-8500</v>
      </c>
      <c r="M61" s="50">
        <f t="shared" si="22"/>
        <v>-8500</v>
      </c>
      <c r="N61" s="50">
        <f t="shared" si="22"/>
        <v>-8500</v>
      </c>
      <c r="O61" s="50">
        <f t="shared" si="22"/>
        <v>-8500</v>
      </c>
      <c r="P61" s="50">
        <f t="shared" si="22"/>
        <v>-8500</v>
      </c>
      <c r="Q61" s="50">
        <f t="shared" si="22"/>
        <v>-8500</v>
      </c>
      <c r="R61" s="50">
        <f t="shared" si="22"/>
        <v>-8500</v>
      </c>
      <c r="S61" s="49">
        <f t="shared" si="22"/>
        <v>-8500</v>
      </c>
      <c r="T61" s="92">
        <f t="shared" si="22"/>
        <v>-8500</v>
      </c>
      <c r="V61" s="28" t="s">
        <v>174</v>
      </c>
    </row>
    <row r="62" spans="1:22" ht="13.5">
      <c r="A62" s="30" t="s">
        <v>103</v>
      </c>
      <c r="B62" s="35" t="s">
        <v>163</v>
      </c>
      <c r="C62" s="82">
        <f>C23*C40</f>
        <v>356400</v>
      </c>
      <c r="D62" s="83">
        <f aca="true" t="shared" si="23" ref="D62:T62">D23*D40</f>
        <v>356400</v>
      </c>
      <c r="E62" s="83">
        <f t="shared" si="23"/>
        <v>356400</v>
      </c>
      <c r="F62" s="83">
        <f t="shared" si="23"/>
        <v>356400</v>
      </c>
      <c r="G62" s="83">
        <f t="shared" si="23"/>
        <v>356399.99999999994</v>
      </c>
      <c r="H62" s="83">
        <f t="shared" si="23"/>
        <v>356400</v>
      </c>
      <c r="I62" s="83">
        <f t="shared" si="23"/>
        <v>356400</v>
      </c>
      <c r="J62" s="83">
        <f t="shared" si="23"/>
        <v>160125</v>
      </c>
      <c r="K62" s="83">
        <f t="shared" si="23"/>
        <v>160125</v>
      </c>
      <c r="L62" s="83">
        <f t="shared" si="23"/>
        <v>160125</v>
      </c>
      <c r="M62" s="83">
        <f t="shared" si="23"/>
        <v>160125</v>
      </c>
      <c r="N62" s="83">
        <f t="shared" si="23"/>
        <v>160125</v>
      </c>
      <c r="O62" s="83">
        <f t="shared" si="23"/>
        <v>160125</v>
      </c>
      <c r="P62" s="83">
        <f t="shared" si="23"/>
        <v>160125</v>
      </c>
      <c r="Q62" s="83">
        <f t="shared" si="23"/>
        <v>160125</v>
      </c>
      <c r="R62" s="83">
        <f t="shared" si="23"/>
        <v>160125</v>
      </c>
      <c r="S62" s="82">
        <f t="shared" si="23"/>
        <v>160125</v>
      </c>
      <c r="T62" s="102">
        <f t="shared" si="23"/>
        <v>160125</v>
      </c>
      <c r="V62" s="28" t="s">
        <v>175</v>
      </c>
    </row>
    <row r="63" spans="1:22" ht="13.5">
      <c r="A63" s="30" t="s">
        <v>104</v>
      </c>
      <c r="B63" s="42" t="s">
        <v>63</v>
      </c>
      <c r="C63" s="82">
        <f>-C23*C42</f>
        <v>-71067.19779558918</v>
      </c>
      <c r="D63" s="83">
        <f aca="true" t="shared" si="24" ref="D63:T63">-D23*D42</f>
        <v>-67343.34841614858</v>
      </c>
      <c r="E63" s="83">
        <f t="shared" si="24"/>
        <v>-59895.64965726739</v>
      </c>
      <c r="F63" s="83">
        <f t="shared" si="24"/>
        <v>-52447.9508983862</v>
      </c>
      <c r="G63" s="83">
        <f t="shared" si="24"/>
        <v>-45000.25213950501</v>
      </c>
      <c r="H63" s="83">
        <f t="shared" si="24"/>
        <v>-37552.55338062382</v>
      </c>
      <c r="I63" s="83">
        <f t="shared" si="24"/>
        <v>-33828.704001183236</v>
      </c>
      <c r="J63" s="83">
        <f t="shared" si="24"/>
        <v>-30104.854621742637</v>
      </c>
      <c r="K63" s="83">
        <f t="shared" si="24"/>
        <v>-30104.854621742637</v>
      </c>
      <c r="L63" s="83">
        <f t="shared" si="24"/>
        <v>-30104.854621742637</v>
      </c>
      <c r="M63" s="83">
        <f t="shared" si="24"/>
        <v>-30104.854621742637</v>
      </c>
      <c r="N63" s="83">
        <f t="shared" si="24"/>
        <v>-30104.854621742637</v>
      </c>
      <c r="O63" s="83">
        <f t="shared" si="24"/>
        <v>-30104.854621742637</v>
      </c>
      <c r="P63" s="83">
        <f t="shared" si="24"/>
        <v>-30104.854621742637</v>
      </c>
      <c r="Q63" s="83">
        <f t="shared" si="24"/>
        <v>-30104.854621742637</v>
      </c>
      <c r="R63" s="83">
        <f t="shared" si="24"/>
        <v>-30104.854621742637</v>
      </c>
      <c r="S63" s="82">
        <f t="shared" si="24"/>
        <v>-30104.854621742637</v>
      </c>
      <c r="T63" s="102">
        <f t="shared" si="24"/>
        <v>-30104.854621742637</v>
      </c>
      <c r="V63" s="28" t="s">
        <v>176</v>
      </c>
    </row>
    <row r="64" spans="1:22" ht="13.5">
      <c r="A64" s="30" t="s">
        <v>112</v>
      </c>
      <c r="B64" s="42" t="s">
        <v>143</v>
      </c>
      <c r="C64" s="82">
        <f>C23*C41</f>
        <v>30336.33547338479</v>
      </c>
      <c r="D64" s="83">
        <f aca="true" t="shared" si="25" ref="D64:T64">D23*D41</f>
        <v>28746.742137342528</v>
      </c>
      <c r="E64" s="83">
        <f t="shared" si="25"/>
        <v>25567.555465258014</v>
      </c>
      <c r="F64" s="83">
        <f t="shared" si="25"/>
        <v>22388.368793173493</v>
      </c>
      <c r="G64" s="83">
        <f t="shared" si="25"/>
        <v>19209.18212108898</v>
      </c>
      <c r="H64" s="83">
        <f t="shared" si="25"/>
        <v>16029.99544900446</v>
      </c>
      <c r="I64" s="83">
        <f t="shared" si="25"/>
        <v>14440.402112962203</v>
      </c>
      <c r="J64" s="83">
        <f t="shared" si="25"/>
        <v>12850.808776919945</v>
      </c>
      <c r="K64" s="83">
        <f t="shared" si="25"/>
        <v>12850.808776919945</v>
      </c>
      <c r="L64" s="83">
        <f t="shared" si="25"/>
        <v>12850.808776919945</v>
      </c>
      <c r="M64" s="83">
        <f t="shared" si="25"/>
        <v>12850.808776919945</v>
      </c>
      <c r="N64" s="83">
        <f t="shared" si="25"/>
        <v>12850.808776919945</v>
      </c>
      <c r="O64" s="83">
        <f t="shared" si="25"/>
        <v>12850.808776919945</v>
      </c>
      <c r="P64" s="83">
        <f t="shared" si="25"/>
        <v>12850.808776919945</v>
      </c>
      <c r="Q64" s="83">
        <f t="shared" si="25"/>
        <v>12850.808776919945</v>
      </c>
      <c r="R64" s="83">
        <f t="shared" si="25"/>
        <v>12850.808776919945</v>
      </c>
      <c r="S64" s="82">
        <f t="shared" si="25"/>
        <v>12850.808776919945</v>
      </c>
      <c r="T64" s="102">
        <f t="shared" si="25"/>
        <v>12850.808776919945</v>
      </c>
      <c r="V64" s="28" t="s">
        <v>177</v>
      </c>
    </row>
    <row r="65" spans="1:22" ht="13.5">
      <c r="A65" s="30" t="s">
        <v>113</v>
      </c>
      <c r="B65" s="35" t="s">
        <v>164</v>
      </c>
      <c r="C65" s="82">
        <f>C29*C35</f>
        <v>0</v>
      </c>
      <c r="D65" s="83">
        <f aca="true" t="shared" si="26" ref="D65:T65">D29*D35</f>
        <v>2805</v>
      </c>
      <c r="E65" s="83">
        <f t="shared" si="26"/>
        <v>8415</v>
      </c>
      <c r="F65" s="83">
        <f t="shared" si="26"/>
        <v>14025</v>
      </c>
      <c r="G65" s="83">
        <f t="shared" si="26"/>
        <v>19635</v>
      </c>
      <c r="H65" s="83">
        <f t="shared" si="26"/>
        <v>25245</v>
      </c>
      <c r="I65" s="83">
        <f t="shared" si="26"/>
        <v>28050</v>
      </c>
      <c r="J65" s="83">
        <f t="shared" si="26"/>
        <v>30855</v>
      </c>
      <c r="K65" s="83">
        <f t="shared" si="26"/>
        <v>30855</v>
      </c>
      <c r="L65" s="83">
        <f t="shared" si="26"/>
        <v>30855</v>
      </c>
      <c r="M65" s="83">
        <f t="shared" si="26"/>
        <v>30855</v>
      </c>
      <c r="N65" s="83">
        <f t="shared" si="26"/>
        <v>30855</v>
      </c>
      <c r="O65" s="83">
        <f t="shared" si="26"/>
        <v>30855</v>
      </c>
      <c r="P65" s="83">
        <f t="shared" si="26"/>
        <v>30855</v>
      </c>
      <c r="Q65" s="83">
        <f t="shared" si="26"/>
        <v>30855</v>
      </c>
      <c r="R65" s="83">
        <f t="shared" si="26"/>
        <v>30855</v>
      </c>
      <c r="S65" s="82">
        <f t="shared" si="26"/>
        <v>30855</v>
      </c>
      <c r="T65" s="102">
        <f t="shared" si="26"/>
        <v>30855</v>
      </c>
      <c r="V65" s="28" t="s">
        <v>178</v>
      </c>
    </row>
    <row r="66" spans="1:22" ht="13.5">
      <c r="A66" s="30" t="s">
        <v>114</v>
      </c>
      <c r="B66" s="42" t="s">
        <v>63</v>
      </c>
      <c r="C66" s="82">
        <f>-C29*C37</f>
        <v>0</v>
      </c>
      <c r="D66" s="83">
        <f aca="true" t="shared" si="27" ref="D66:T66">-D29*D37</f>
        <v>-559.3251678356555</v>
      </c>
      <c r="E66" s="83">
        <f t="shared" si="27"/>
        <v>-1677.9755035069666</v>
      </c>
      <c r="F66" s="83">
        <f t="shared" si="27"/>
        <v>-2796.6258391782776</v>
      </c>
      <c r="G66" s="83">
        <f t="shared" si="27"/>
        <v>-3915.276174849589</v>
      </c>
      <c r="H66" s="83">
        <f t="shared" si="27"/>
        <v>-5033.9265105209</v>
      </c>
      <c r="I66" s="83">
        <f t="shared" si="27"/>
        <v>-5593.251678356555</v>
      </c>
      <c r="J66" s="83">
        <f t="shared" si="27"/>
        <v>-6152.576846192211</v>
      </c>
      <c r="K66" s="83">
        <f t="shared" si="27"/>
        <v>-6152.576846192211</v>
      </c>
      <c r="L66" s="83">
        <f t="shared" si="27"/>
        <v>-6152.576846192211</v>
      </c>
      <c r="M66" s="83">
        <f t="shared" si="27"/>
        <v>-6152.576846192211</v>
      </c>
      <c r="N66" s="83">
        <f t="shared" si="27"/>
        <v>-6152.576846192211</v>
      </c>
      <c r="O66" s="83">
        <f t="shared" si="27"/>
        <v>-6152.576846192211</v>
      </c>
      <c r="P66" s="83">
        <f t="shared" si="27"/>
        <v>-6152.576846192211</v>
      </c>
      <c r="Q66" s="83">
        <f t="shared" si="27"/>
        <v>-6152.576846192211</v>
      </c>
      <c r="R66" s="83">
        <f t="shared" si="27"/>
        <v>-6152.576846192211</v>
      </c>
      <c r="S66" s="82">
        <f t="shared" si="27"/>
        <v>-6152.576846192211</v>
      </c>
      <c r="T66" s="102">
        <f t="shared" si="27"/>
        <v>-6152.576846192211</v>
      </c>
      <c r="V66" s="28" t="s">
        <v>179</v>
      </c>
    </row>
    <row r="67" spans="1:22" ht="13.5">
      <c r="A67" s="30" t="s">
        <v>116</v>
      </c>
      <c r="B67" s="42" t="s">
        <v>143</v>
      </c>
      <c r="C67" s="82">
        <f>C29*C36</f>
        <v>0</v>
      </c>
      <c r="D67" s="83">
        <f aca="true" t="shared" si="28" ref="D67:T67">D29*D36</f>
        <v>238.75819585534322</v>
      </c>
      <c r="E67" s="83">
        <f t="shared" si="28"/>
        <v>716.2745875660297</v>
      </c>
      <c r="F67" s="83">
        <f t="shared" si="28"/>
        <v>1193.7909792767161</v>
      </c>
      <c r="G67" s="83">
        <f t="shared" si="28"/>
        <v>1671.3073709874027</v>
      </c>
      <c r="H67" s="83">
        <f t="shared" si="28"/>
        <v>2148.823762698089</v>
      </c>
      <c r="I67" s="83">
        <f t="shared" si="28"/>
        <v>2387.5819585534323</v>
      </c>
      <c r="J67" s="83">
        <f t="shared" si="28"/>
        <v>2626.3401544087756</v>
      </c>
      <c r="K67" s="83">
        <f t="shared" si="28"/>
        <v>2626.3401544087756</v>
      </c>
      <c r="L67" s="83">
        <f t="shared" si="28"/>
        <v>2626.3401544087756</v>
      </c>
      <c r="M67" s="83">
        <f t="shared" si="28"/>
        <v>2626.3401544087756</v>
      </c>
      <c r="N67" s="83">
        <f t="shared" si="28"/>
        <v>2626.3401544087756</v>
      </c>
      <c r="O67" s="83">
        <f t="shared" si="28"/>
        <v>2626.3401544087756</v>
      </c>
      <c r="P67" s="83">
        <f t="shared" si="28"/>
        <v>2626.3401544087756</v>
      </c>
      <c r="Q67" s="83">
        <f t="shared" si="28"/>
        <v>2626.3401544087756</v>
      </c>
      <c r="R67" s="83">
        <f t="shared" si="28"/>
        <v>2626.3401544087756</v>
      </c>
      <c r="S67" s="82">
        <f t="shared" si="28"/>
        <v>2626.3401544087756</v>
      </c>
      <c r="T67" s="102">
        <f t="shared" si="28"/>
        <v>2626.3401544087756</v>
      </c>
      <c r="V67" s="28" t="s">
        <v>180</v>
      </c>
    </row>
    <row r="68" spans="1:22" ht="13.5">
      <c r="A68" s="30" t="s">
        <v>118</v>
      </c>
      <c r="B68" s="35" t="s">
        <v>137</v>
      </c>
      <c r="C68" s="82">
        <f>C30*C43</f>
        <v>0</v>
      </c>
      <c r="D68" s="83">
        <f aca="true" t="shared" si="29" ref="D68:T68">D30*D43</f>
        <v>9131.864168157503</v>
      </c>
      <c r="E68" s="83">
        <f t="shared" si="29"/>
        <v>27395.592504472486</v>
      </c>
      <c r="F68" s="83">
        <f t="shared" si="29"/>
        <v>45659.32084078749</v>
      </c>
      <c r="G68" s="83">
        <f t="shared" si="29"/>
        <v>63923.049177102475</v>
      </c>
      <c r="H68" s="83">
        <f t="shared" si="29"/>
        <v>82186.77751341749</v>
      </c>
      <c r="I68" s="83">
        <f t="shared" si="29"/>
        <v>91318.64168157497</v>
      </c>
      <c r="J68" s="83">
        <f t="shared" si="29"/>
        <v>100450.50584973246</v>
      </c>
      <c r="K68" s="83">
        <f t="shared" si="29"/>
        <v>100450.50584973246</v>
      </c>
      <c r="L68" s="83">
        <f t="shared" si="29"/>
        <v>100450.50584973246</v>
      </c>
      <c r="M68" s="83">
        <f t="shared" si="29"/>
        <v>100450.50584973246</v>
      </c>
      <c r="N68" s="83">
        <f t="shared" si="29"/>
        <v>100450.50584973246</v>
      </c>
      <c r="O68" s="83">
        <f t="shared" si="29"/>
        <v>100450.50584973246</v>
      </c>
      <c r="P68" s="83">
        <f t="shared" si="29"/>
        <v>100450.50584973246</v>
      </c>
      <c r="Q68" s="83">
        <f t="shared" si="29"/>
        <v>100450.50584973246</v>
      </c>
      <c r="R68" s="83">
        <f t="shared" si="29"/>
        <v>100450.50584973246</v>
      </c>
      <c r="S68" s="82">
        <f t="shared" si="29"/>
        <v>100450.50584973246</v>
      </c>
      <c r="T68" s="102">
        <f t="shared" si="29"/>
        <v>100450.50584973246</v>
      </c>
      <c r="V68" s="28" t="s">
        <v>181</v>
      </c>
    </row>
    <row r="69" spans="1:22" ht="13.5">
      <c r="A69" s="30" t="s">
        <v>125</v>
      </c>
      <c r="B69" s="35" t="s">
        <v>138</v>
      </c>
      <c r="C69" s="82">
        <f>C30*C44</f>
        <v>0</v>
      </c>
      <c r="D69" s="83">
        <f aca="true" t="shared" si="30" ref="D69:T69">D30*D44</f>
        <v>1201.7190298193696</v>
      </c>
      <c r="E69" s="83">
        <f t="shared" si="30"/>
        <v>3605.157089458106</v>
      </c>
      <c r="F69" s="83">
        <f t="shared" si="30"/>
        <v>6008.5951490968455</v>
      </c>
      <c r="G69" s="83">
        <f t="shared" si="30"/>
        <v>8412.033208735582</v>
      </c>
      <c r="H69" s="83">
        <f t="shared" si="30"/>
        <v>10815.47126837432</v>
      </c>
      <c r="I69" s="83">
        <f t="shared" si="30"/>
        <v>12017.190298193687</v>
      </c>
      <c r="J69" s="83">
        <f t="shared" si="30"/>
        <v>13218.909328013056</v>
      </c>
      <c r="K69" s="83">
        <f t="shared" si="30"/>
        <v>13218.909328013056</v>
      </c>
      <c r="L69" s="83">
        <f t="shared" si="30"/>
        <v>13218.909328013056</v>
      </c>
      <c r="M69" s="83">
        <f t="shared" si="30"/>
        <v>13218.909328013056</v>
      </c>
      <c r="N69" s="83">
        <f t="shared" si="30"/>
        <v>13218.909328013056</v>
      </c>
      <c r="O69" s="83">
        <f t="shared" si="30"/>
        <v>13218.909328013056</v>
      </c>
      <c r="P69" s="83">
        <f t="shared" si="30"/>
        <v>13218.909328013056</v>
      </c>
      <c r="Q69" s="83">
        <f t="shared" si="30"/>
        <v>13218.909328013056</v>
      </c>
      <c r="R69" s="83">
        <f t="shared" si="30"/>
        <v>13218.909328013056</v>
      </c>
      <c r="S69" s="82">
        <f t="shared" si="30"/>
        <v>13218.909328013056</v>
      </c>
      <c r="T69" s="102">
        <f t="shared" si="30"/>
        <v>13218.909328013056</v>
      </c>
      <c r="V69" s="28" t="s">
        <v>182</v>
      </c>
    </row>
    <row r="70" spans="1:22" ht="13.5">
      <c r="A70" s="30" t="s">
        <v>126</v>
      </c>
      <c r="B70" s="31" t="s">
        <v>144</v>
      </c>
      <c r="C70" s="82">
        <f>-SUM(C62:C69)*C48</f>
        <v>-189401.48260667737</v>
      </c>
      <c r="D70" s="83">
        <f>-SUM(D62:D69)*D48</f>
        <v>-198372.84596831433</v>
      </c>
      <c r="E70" s="83">
        <f>-SUM(E62:E69)*E48</f>
        <v>-216315.57269158817</v>
      </c>
      <c r="F70" s="83">
        <f>-SUM(F62:F69)*F48</f>
        <v>-234258.29941486206</v>
      </c>
      <c r="G70" s="83">
        <f>-SUM(G62:G69)*G48</f>
        <v>-252201.02613813584</v>
      </c>
      <c r="H70" s="83">
        <f>-SUM(H62:H69)*H48</f>
        <v>-270143.75286140974</v>
      </c>
      <c r="I70" s="83">
        <f aca="true" t="shared" si="31" ref="I70:S70">-SUM(I62:I69)*I48</f>
        <v>-279115.1162230467</v>
      </c>
      <c r="J70" s="83">
        <f t="shared" si="31"/>
        <v>-170321.47958468366</v>
      </c>
      <c r="K70" s="83">
        <f t="shared" si="31"/>
        <v>-170321.47958468366</v>
      </c>
      <c r="L70" s="83">
        <f t="shared" si="31"/>
        <v>-170321.47958468366</v>
      </c>
      <c r="M70" s="83">
        <f t="shared" si="31"/>
        <v>-170321.47958468366</v>
      </c>
      <c r="N70" s="83">
        <f t="shared" si="31"/>
        <v>-170321.47958468366</v>
      </c>
      <c r="O70" s="83">
        <f t="shared" si="31"/>
        <v>-170321.47958468366</v>
      </c>
      <c r="P70" s="83">
        <f t="shared" si="31"/>
        <v>-170321.47958468366</v>
      </c>
      <c r="Q70" s="83">
        <f t="shared" si="31"/>
        <v>-170321.47958468366</v>
      </c>
      <c r="R70" s="83">
        <f t="shared" si="31"/>
        <v>-170321.47958468366</v>
      </c>
      <c r="S70" s="82">
        <f t="shared" si="31"/>
        <v>-170321.47958468366</v>
      </c>
      <c r="T70" s="102">
        <f>-SUM(T62:T69)*T48</f>
        <v>-170321.47958468366</v>
      </c>
      <c r="V70" s="16" t="s">
        <v>148</v>
      </c>
    </row>
    <row r="71" spans="1:22" ht="13.5">
      <c r="A71" s="30" t="s">
        <v>127</v>
      </c>
      <c r="B71" s="31" t="s">
        <v>65</v>
      </c>
      <c r="C71" s="82">
        <f>SUM(C61:C70)</f>
        <v>108417.65507111824</v>
      </c>
      <c r="D71" s="83">
        <f>SUM(D61:D70)</f>
        <v>115248.56397887622</v>
      </c>
      <c r="E71" s="83">
        <f>SUM(E61:E70)</f>
        <v>128910.3817943921</v>
      </c>
      <c r="F71" s="83">
        <f>SUM(F61:F70)</f>
        <v>142572.19960990804</v>
      </c>
      <c r="G71" s="83">
        <f>SUM(G61:G70)</f>
        <v>156234.01742542392</v>
      </c>
      <c r="H71" s="83">
        <f>SUM(H61:H70)</f>
        <v>169895.83524093986</v>
      </c>
      <c r="I71" s="83">
        <f aca="true" t="shared" si="32" ref="I71:S71">SUM(I61:I70)</f>
        <v>176726.74414869782</v>
      </c>
      <c r="J71" s="83">
        <f t="shared" si="32"/>
        <v>105047.65305645578</v>
      </c>
      <c r="K71" s="83">
        <f t="shared" si="32"/>
        <v>105047.65305645578</v>
      </c>
      <c r="L71" s="83">
        <f t="shared" si="32"/>
        <v>105047.65305645578</v>
      </c>
      <c r="M71" s="83">
        <f t="shared" si="32"/>
        <v>105047.65305645578</v>
      </c>
      <c r="N71" s="83">
        <f t="shared" si="32"/>
        <v>105047.65305645578</v>
      </c>
      <c r="O71" s="83">
        <f t="shared" si="32"/>
        <v>105047.65305645578</v>
      </c>
      <c r="P71" s="83">
        <f t="shared" si="32"/>
        <v>105047.65305645578</v>
      </c>
      <c r="Q71" s="83">
        <f t="shared" si="32"/>
        <v>105047.65305645578</v>
      </c>
      <c r="R71" s="83">
        <f t="shared" si="32"/>
        <v>105047.65305645578</v>
      </c>
      <c r="S71" s="82">
        <f t="shared" si="32"/>
        <v>105047.65305645578</v>
      </c>
      <c r="T71" s="102">
        <f>SUM(T61:T70)</f>
        <v>105047.65305645578</v>
      </c>
      <c r="V71" s="16" t="s">
        <v>149</v>
      </c>
    </row>
    <row r="72" spans="1:20" ht="13.5">
      <c r="A72" s="30"/>
      <c r="C72" s="29"/>
      <c r="S72" s="29"/>
      <c r="T72" s="91"/>
    </row>
    <row r="73" spans="1:22" ht="13.5">
      <c r="A73" s="27">
        <v>11</v>
      </c>
      <c r="B73" s="28" t="s">
        <v>161</v>
      </c>
      <c r="C73" s="82">
        <f>C58-C71</f>
        <v>0</v>
      </c>
      <c r="D73" s="83">
        <f>D58-D71</f>
        <v>-6830.908907757985</v>
      </c>
      <c r="E73" s="83">
        <f>E58-E71</f>
        <v>-20492.726723273867</v>
      </c>
      <c r="F73" s="83">
        <f>F58-F71</f>
        <v>-34154.54453878981</v>
      </c>
      <c r="G73" s="83">
        <f>G58-G71</f>
        <v>-47816.36235430569</v>
      </c>
      <c r="H73" s="83">
        <f>H58-H71</f>
        <v>-61478.18016982163</v>
      </c>
      <c r="I73" s="83">
        <f aca="true" t="shared" si="33" ref="I73:S73">I58-I71</f>
        <v>-68309.08907757959</v>
      </c>
      <c r="J73" s="83">
        <f t="shared" si="33"/>
        <v>3370.0020146624593</v>
      </c>
      <c r="K73" s="83">
        <f t="shared" si="33"/>
        <v>3370.0020146624593</v>
      </c>
      <c r="L73" s="83">
        <f t="shared" si="33"/>
        <v>3370.0020146624593</v>
      </c>
      <c r="M73" s="83">
        <f t="shared" si="33"/>
        <v>3370.0020146624593</v>
      </c>
      <c r="N73" s="83">
        <f t="shared" si="33"/>
        <v>3370.0020146624593</v>
      </c>
      <c r="O73" s="83">
        <f t="shared" si="33"/>
        <v>3370.0020146624593</v>
      </c>
      <c r="P73" s="83">
        <f t="shared" si="33"/>
        <v>3370.0020146624593</v>
      </c>
      <c r="Q73" s="83">
        <f t="shared" si="33"/>
        <v>3370.0020146624593</v>
      </c>
      <c r="R73" s="83">
        <f t="shared" si="33"/>
        <v>3370.0020146624593</v>
      </c>
      <c r="S73" s="82">
        <f t="shared" si="33"/>
        <v>3370.0020146624593</v>
      </c>
      <c r="T73" s="102">
        <f>T58-T71</f>
        <v>3370.0020146624593</v>
      </c>
      <c r="V73" s="28" t="s">
        <v>183</v>
      </c>
    </row>
    <row r="74" spans="20:22" ht="13.5">
      <c r="T74" s="106">
        <f>T73/T23</f>
        <v>3.683062311106513</v>
      </c>
      <c r="V74" s="28" t="s">
        <v>184</v>
      </c>
    </row>
    <row r="76" spans="10:22" ht="13.5">
      <c r="J76" s="46"/>
      <c r="K76" s="46"/>
      <c r="L76" s="46"/>
      <c r="M76" s="46"/>
      <c r="N76" s="46"/>
      <c r="O76" s="46"/>
      <c r="P76" s="46"/>
      <c r="Q76" s="46"/>
      <c r="R76" s="46"/>
      <c r="S76" s="46"/>
      <c r="T76" s="32">
        <f>-SUMPRODUCT($D$9:$S$9,D73:S73)</f>
        <v>239081.81177152856</v>
      </c>
      <c r="V76" s="16" t="s">
        <v>159</v>
      </c>
    </row>
    <row r="78" spans="20:22" ht="13.5">
      <c r="T78" s="50">
        <f>IF(T73&lt;0,"Never",T76/T73)</f>
        <v>70.94411538370403</v>
      </c>
      <c r="V78" s="28" t="s">
        <v>160</v>
      </c>
    </row>
    <row r="79" ht="17.25">
      <c r="B79" s="269" t="s">
        <v>305</v>
      </c>
    </row>
  </sheetData>
  <sheetProtection/>
  <mergeCells count="1">
    <mergeCell ref="A4:C4"/>
  </mergeCells>
  <conditionalFormatting sqref="D7:S73">
    <cfRule type="expression" priority="1" dxfId="11">
      <formula>(D$9=0)</formula>
    </cfRule>
  </conditionalFormatting>
  <printOptions gridLines="1"/>
  <pageMargins left="0.25" right="0.25" top="0.3" bottom="0.53" header="0.3" footer="0.3"/>
  <pageSetup fitToHeight="1" fitToWidth="1" horizontalDpi="600" verticalDpi="600" orientation="portrait" scale="63" r:id="rId1"/>
  <headerFooter>
    <oddFooter>&amp;CPage 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CHSRA  U.W. - Madison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 Robinson</dc:creator>
  <cp:keywords/>
  <dc:description/>
  <cp:lastModifiedBy>Sarah Paterson</cp:lastModifiedBy>
  <cp:lastPrinted>2013-02-02T00:44:24Z</cp:lastPrinted>
  <dcterms:created xsi:type="dcterms:W3CDTF">2013-01-23T07:22:35Z</dcterms:created>
  <dcterms:modified xsi:type="dcterms:W3CDTF">2013-02-07T14:53:58Z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